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25" windowWidth="20115" windowHeight="8070"/>
  </bookViews>
  <sheets>
    <sheet name="Tabelle1" sheetId="1" r:id="rId1"/>
  </sheets>
  <definedNames>
    <definedName name="_xlnm.Print_Area" localSheetId="0">Tabelle1!$A$2:$O$131</definedName>
  </definedNames>
  <calcPr calcId="145621"/>
</workbook>
</file>

<file path=xl/calcChain.xml><?xml version="1.0" encoding="utf-8"?>
<calcChain xmlns="http://schemas.openxmlformats.org/spreadsheetml/2006/main">
  <c r="N86" i="1" l="1"/>
  <c r="N87" i="1"/>
  <c r="Q86" i="1"/>
  <c r="B85" i="1"/>
  <c r="B115" i="1"/>
  <c r="Q85" i="1" l="1"/>
  <c r="Q84" i="1"/>
  <c r="B95" i="1"/>
  <c r="G112" i="1" l="1"/>
  <c r="G113" i="1" s="1"/>
  <c r="J115" i="1" s="1"/>
  <c r="B116" i="1"/>
  <c r="B112" i="1"/>
  <c r="G118" i="1" l="1"/>
  <c r="M116" i="1"/>
  <c r="B99" i="1" l="1"/>
  <c r="N91" i="1"/>
  <c r="N24" i="1" l="1"/>
  <c r="B26" i="1" s="1"/>
  <c r="B39" i="1" l="1"/>
  <c r="G47" i="1"/>
  <c r="B37" i="1"/>
  <c r="K35" i="1"/>
  <c r="B64" i="1" l="1"/>
  <c r="G35" i="1" l="1"/>
  <c r="N35" i="1" s="1"/>
  <c r="G37" i="1" l="1"/>
  <c r="N37" i="1" s="1"/>
  <c r="B50" i="1" l="1"/>
  <c r="D163" i="1" l="1"/>
  <c r="D164" i="1" s="1"/>
  <c r="D165" i="1" s="1"/>
  <c r="D166" i="1" s="1"/>
  <c r="D157" i="1"/>
  <c r="D158" i="1" s="1"/>
  <c r="D159" i="1" s="1"/>
  <c r="D160" i="1" s="1"/>
  <c r="D151" i="1"/>
  <c r="D152" i="1" s="1"/>
  <c r="D153" i="1" s="1"/>
  <c r="B257" i="1"/>
  <c r="D154" i="1" l="1"/>
  <c r="F47" i="1" l="1"/>
  <c r="N50" i="1" s="1"/>
  <c r="N41" i="1"/>
  <c r="F51" i="1"/>
  <c r="N68" i="1"/>
  <c r="C68" i="1"/>
  <c r="B47" i="1"/>
  <c r="C62" i="1"/>
  <c r="N62" i="1" s="1"/>
  <c r="N69" i="1" l="1"/>
  <c r="N64" i="1"/>
  <c r="C64" i="1" s="1"/>
  <c r="N42" i="1"/>
  <c r="B41" i="1"/>
  <c r="N51" i="1" l="1"/>
  <c r="B51" i="1"/>
  <c r="N55" i="1"/>
  <c r="N47" i="1"/>
  <c r="N23" i="1" l="1"/>
  <c r="N85" i="1" s="1"/>
  <c r="N99" i="1" s="1"/>
  <c r="N26" i="1"/>
  <c r="N43" i="1" l="1"/>
  <c r="N27" i="1"/>
  <c r="N28" i="1"/>
  <c r="B94" i="1" l="1"/>
  <c r="D88" i="1"/>
  <c r="N88" i="1" s="1"/>
  <c r="N89" i="1" s="1"/>
  <c r="N29" i="1"/>
  <c r="B97" i="1" l="1"/>
  <c r="D100" i="1"/>
  <c r="N100" i="1" s="1"/>
  <c r="N101" i="1" s="1"/>
  <c r="N104" i="1" s="1"/>
  <c r="N31" i="1"/>
  <c r="B96" i="1"/>
  <c r="N92" i="1"/>
  <c r="B36" i="1" l="1"/>
  <c r="N32" i="1"/>
  <c r="F33" i="1"/>
  <c r="N33" i="1" s="1"/>
  <c r="C38" i="1"/>
  <c r="J36" i="1"/>
  <c r="N36" i="1" s="1"/>
  <c r="B40" i="1"/>
  <c r="N38" i="1" l="1"/>
</calcChain>
</file>

<file path=xl/comments1.xml><?xml version="1.0" encoding="utf-8"?>
<comments xmlns="http://schemas.openxmlformats.org/spreadsheetml/2006/main">
  <authors>
    <author>hjh</author>
    <author>Hasko</author>
  </authors>
  <commentList>
    <comment ref="N12" authorId="0">
      <text>
        <r>
          <rPr>
            <b/>
            <sz val="9"/>
            <color indexed="81"/>
            <rFont val="Tahoma"/>
            <charset val="1"/>
          </rPr>
          <t>hjh:</t>
        </r>
        <r>
          <rPr>
            <sz val="9"/>
            <color indexed="81"/>
            <rFont val="Tahoma"/>
            <charset val="1"/>
          </rPr>
          <t xml:space="preserve">
Über den gemittelten Jahresverbrauch und der neuen Schweizer Formel  die daraus berechnete Heizlast in kW hier eintragen
</t>
        </r>
      </text>
    </comment>
    <comment ref="N14" authorId="0">
      <text>
        <r>
          <rPr>
            <b/>
            <sz val="9"/>
            <color indexed="81"/>
            <rFont val="Tahoma"/>
            <charset val="1"/>
          </rPr>
          <t>hjh:</t>
        </r>
        <r>
          <rPr>
            <sz val="9"/>
            <color indexed="81"/>
            <rFont val="Tahoma"/>
            <charset val="1"/>
          </rPr>
          <t xml:space="preserve">
Hier die Leistung in kW des ausgewählten HV eintragen</t>
        </r>
      </text>
    </comment>
    <comment ref="K15" authorId="0">
      <text>
        <r>
          <rPr>
            <b/>
            <sz val="9"/>
            <color indexed="81"/>
            <rFont val="Tahoma"/>
            <family val="2"/>
          </rPr>
          <t>hjh:</t>
        </r>
        <r>
          <rPr>
            <sz val="9"/>
            <color indexed="81"/>
            <rFont val="Tahoma"/>
            <family val="2"/>
          </rPr>
          <t xml:space="preserve">
mögliche Ausnutzung des vorhandenen Füllraumes</t>
        </r>
      </text>
    </comment>
    <comment ref="N15" authorId="0">
      <text>
        <r>
          <rPr>
            <b/>
            <sz val="9"/>
            <color indexed="81"/>
            <rFont val="Tahoma"/>
            <charset val="1"/>
          </rPr>
          <t>hjh:</t>
        </r>
        <r>
          <rPr>
            <sz val="9"/>
            <color indexed="81"/>
            <rFont val="Tahoma"/>
            <charset val="1"/>
          </rPr>
          <t xml:space="preserve">
Den Füllraum aus den Herstellerangaben hier übernehmen in Liter bzw. dm³
siehe auch Auswahl rechts</t>
        </r>
      </text>
    </comment>
    <comment ref="Q15" authorId="0">
      <text>
        <r>
          <rPr>
            <b/>
            <sz val="9"/>
            <color indexed="81"/>
            <rFont val="Tahoma"/>
            <family val="2"/>
          </rPr>
          <t>hjh: ATMOS Sz. 
Kein O2</t>
        </r>
        <r>
          <rPr>
            <sz val="9"/>
            <color indexed="81"/>
            <rFont val="Tahoma"/>
            <family val="2"/>
          </rPr>
          <t xml:space="preserve">
S 22 100Ltr.
S 25 100Ltr.
S 32 140Ltr.  
S 40 140Ltr.
S 50 180Ltr.
S 70 180Ltr.
GS20 85Ltr.
GS25 125Ltr.
GS32 125Ltr.
GS45 170Ltr.
GSX50 210Ltr.
GSX70 210Ltr.</t>
        </r>
      </text>
    </comment>
    <comment ref="R15" authorId="0">
      <text>
        <r>
          <rPr>
            <b/>
            <sz val="9"/>
            <color indexed="81"/>
            <rFont val="Tahoma"/>
            <family val="2"/>
          </rPr>
          <t>hjh:KÜNZEL HV Insolv.
Druckgebl.+Lamb</t>
        </r>
        <r>
          <rPr>
            <sz val="9"/>
            <color indexed="81"/>
            <rFont val="Tahoma"/>
            <family val="2"/>
          </rPr>
          <t xml:space="preserve">
17kW  95L
24kW  122L
30kW  162L
40kW  162L
50kW  210L
</t>
        </r>
        <r>
          <rPr>
            <b/>
            <sz val="9"/>
            <color indexed="81"/>
            <rFont val="Tahoma"/>
            <family val="2"/>
          </rPr>
          <t>Saugzug+Lamb</t>
        </r>
        <r>
          <rPr>
            <sz val="9"/>
            <color indexed="81"/>
            <rFont val="Tahoma"/>
            <family val="2"/>
          </rPr>
          <t xml:space="preserve">
17kW  95L
24kW  122L
30kW  162L
40kW  162L
50kW  210L
</t>
        </r>
      </text>
    </comment>
    <comment ref="S15" authorId="0">
      <text>
        <r>
          <rPr>
            <b/>
            <sz val="9"/>
            <color indexed="81"/>
            <rFont val="Tahoma"/>
            <family val="2"/>
          </rPr>
          <t>hjh: Strebel AT</t>
        </r>
        <r>
          <rPr>
            <sz val="9"/>
            <color indexed="81"/>
            <rFont val="Tahoma"/>
            <family val="2"/>
          </rPr>
          <t xml:space="preserve">
TT20  150Ltr.
TT25  150Ltr.
TT30  150Ltr.
TT40  190Ltr.
TT40S 290Ltr.
TT50  290Ltr.
TT60  290Ltr.
TT70  290Ltr.</t>
        </r>
      </text>
    </comment>
    <comment ref="N16" authorId="0">
      <text>
        <r>
          <rPr>
            <b/>
            <sz val="9"/>
            <color indexed="81"/>
            <rFont val="Tahoma"/>
            <charset val="1"/>
          </rPr>
          <t>hjh:</t>
        </r>
        <r>
          <rPr>
            <sz val="9"/>
            <color indexed="81"/>
            <rFont val="Tahoma"/>
            <charset val="1"/>
          </rPr>
          <t xml:space="preserve">
Hier wird ein gemittelter Erfahrungswert des Schüttgewichtes pro Liter(dm³) Füllraum (Fr) eingetragen.
Bretter ca. 0,130 bis Eiche 0,300</t>
        </r>
      </text>
    </comment>
    <comment ref="Q16" authorId="0">
      <text>
        <r>
          <rPr>
            <b/>
            <sz val="9"/>
            <color indexed="81"/>
            <rFont val="Tahoma"/>
            <family val="2"/>
          </rPr>
          <t>Attack Sz.</t>
        </r>
        <r>
          <rPr>
            <sz val="9"/>
            <color indexed="81"/>
            <rFont val="Tahoma"/>
            <family val="2"/>
          </rPr>
          <t xml:space="preserve">
DP 25; 125Ltr.
DP 35; 158Ltr.
DP 45; 190Ltr.
DP 75; 360Ltr.
DP 95; 440Ltr.
</t>
        </r>
        <r>
          <rPr>
            <b/>
            <sz val="9"/>
            <color indexed="81"/>
            <rFont val="Tahoma"/>
            <family val="2"/>
          </rPr>
          <t>DPX :Standard, Profi, Lambda</t>
        </r>
        <r>
          <rPr>
            <sz val="9"/>
            <color indexed="81"/>
            <rFont val="Tahoma"/>
            <family val="2"/>
          </rPr>
          <t xml:space="preserve">
DPX 15; 072Ltr.
DPX 25; 125Ltr.
DPX 30; 158Ltr. 1 1/2"; 7,8kg/h; 3h
DPX 35; 158Ltr.
DPX 40; 190Ltr.
DPX 45; 190Ltr.</t>
        </r>
      </text>
    </comment>
    <comment ref="S16" authorId="0">
      <text>
        <r>
          <rPr>
            <b/>
            <sz val="9"/>
            <color indexed="81"/>
            <rFont val="Tahoma"/>
            <family val="2"/>
          </rPr>
          <t>hjh: Windhager Premium</t>
        </r>
        <r>
          <rPr>
            <sz val="9"/>
            <color indexed="81"/>
            <rFont val="Tahoma"/>
            <family val="2"/>
          </rPr>
          <t xml:space="preserve">
            Füllr.       Wasser
LWP 18  176Ltr.   127Ltr.  &gt;8500€
LWP 25  176Ltr.   127Ltr. 
LWP 30  176Ltr.   127Ltr. 
LWP 36  226Ltr.   147Ltr. 
LWP 50  226Ltr.   147Ltr. </t>
        </r>
      </text>
    </comment>
    <comment ref="N17" authorId="0">
      <text>
        <r>
          <rPr>
            <b/>
            <sz val="9"/>
            <color indexed="81"/>
            <rFont val="Tahoma"/>
            <charset val="1"/>
          </rPr>
          <t>hjh:</t>
        </r>
        <r>
          <rPr>
            <sz val="9"/>
            <color indexed="81"/>
            <rFont val="Tahoma"/>
            <charset val="1"/>
          </rPr>
          <t xml:space="preserve">
Heizwert des verwendeten Brennstoffes hier eingeben.
4,156 kW/kg entspricht ca. 16% Wassergehalt.</t>
        </r>
      </text>
    </comment>
    <comment ref="Q17" authorId="0">
      <text>
        <r>
          <rPr>
            <b/>
            <sz val="9"/>
            <color indexed="81"/>
            <rFont val="Tahoma"/>
            <family val="2"/>
          </rPr>
          <t>hjh:Buderus Logano</t>
        </r>
        <r>
          <rPr>
            <sz val="9"/>
            <color indexed="81"/>
            <rFont val="Tahoma"/>
            <family val="2"/>
          </rPr>
          <t xml:space="preserve">
S161 24kW 120Ltr.
S261 18kW   90Ltr.
S261 20kW 170Ltr.
S261 30kW 170Ltr.
S261 40kW 170Ltr.</t>
        </r>
      </text>
    </comment>
    <comment ref="R17" authorId="0">
      <text>
        <r>
          <rPr>
            <b/>
            <sz val="9"/>
            <color indexed="81"/>
            <rFont val="Tahoma"/>
            <family val="2"/>
          </rPr>
          <t>hjh: Ofen</t>
        </r>
        <r>
          <rPr>
            <sz val="9"/>
            <color indexed="81"/>
            <rFont val="Tahoma"/>
            <family val="2"/>
          </rPr>
          <t xml:space="preserve">
Leistung    -  Brennst.
W10/L5kW - 4,5 kg</t>
        </r>
      </text>
    </comment>
    <comment ref="N18" authorId="0">
      <text>
        <r>
          <rPr>
            <b/>
            <sz val="9"/>
            <color indexed="81"/>
            <rFont val="Tahoma"/>
            <charset val="1"/>
          </rPr>
          <t>hjh:</t>
        </r>
        <r>
          <rPr>
            <sz val="9"/>
            <color indexed="81"/>
            <rFont val="Tahoma"/>
            <charset val="1"/>
          </rPr>
          <t xml:space="preserve">
Der hier einzutragende Wirkungsgrad setzt sich zusammen aus dem feuerungstechnischen Wirkungsgrad und den Abstrahlverlusten des HV als auch der Leitungen bis zum Speicher.
Bundesweit liegt der Öl-Verbrauch 08/09 bei Gebäudegröße 200...300qm bei 15,1l/qm*a (zzgl. WW-Anteil), und der durchschnittlich Jahresnutzungsgrad lag bei 75%. </t>
        </r>
      </text>
    </comment>
    <comment ref="Q18" authorId="0">
      <text>
        <r>
          <rPr>
            <b/>
            <sz val="9"/>
            <color indexed="81"/>
            <rFont val="Tahoma"/>
            <family val="2"/>
          </rPr>
          <t xml:space="preserve">hjh: ETA SH O2 Sz.
       Füllr.    Wasser
</t>
        </r>
        <r>
          <rPr>
            <sz val="9"/>
            <color indexed="81"/>
            <rFont val="Tahoma"/>
            <family val="2"/>
          </rPr>
          <t xml:space="preserve">SH20  150L  110L
SH30  150L  110L
SH40  223L  170L
SH50  223L  170L
SH60  223L  170L
</t>
        </r>
        <r>
          <rPr>
            <b/>
            <sz val="9"/>
            <color indexed="81"/>
            <rFont val="Tahoma"/>
            <family val="2"/>
          </rPr>
          <t xml:space="preserve">
Paradigma</t>
        </r>
        <r>
          <rPr>
            <sz val="9"/>
            <color indexed="81"/>
            <rFont val="Tahoma"/>
            <family val="2"/>
          </rPr>
          <t xml:space="preserve">
SH20 150Ltr.  110L
SH30 150Ltr.  110L
SH40 225Ltr.  170L
SH50 225Ltr.  170L
SH60 225Ltr.  170L</t>
        </r>
      </text>
    </comment>
    <comment ref="R18" authorId="0">
      <text>
        <r>
          <rPr>
            <b/>
            <sz val="9"/>
            <color indexed="81"/>
            <rFont val="Tahoma"/>
            <family val="2"/>
          </rPr>
          <t>hjh:ORLANSKI</t>
        </r>
        <r>
          <rPr>
            <sz val="9"/>
            <color indexed="81"/>
            <rFont val="Tahoma"/>
            <family val="2"/>
          </rPr>
          <t xml:space="preserve">
Orlingo 200
18kW - 85Ltr.
25kW - 120Ltr.
40kW - 185Ltr. 93L Wa
60kW - 310Ltr.
80kW - 465Ltr.</t>
        </r>
      </text>
    </comment>
    <comment ref="Q19" authorId="0">
      <text>
        <r>
          <rPr>
            <b/>
            <sz val="9"/>
            <color indexed="81"/>
            <rFont val="Tahoma"/>
            <family val="2"/>
          </rPr>
          <t>hjh: Fröling S4 Turbo</t>
        </r>
        <r>
          <rPr>
            <sz val="9"/>
            <color indexed="81"/>
            <rFont val="Tahoma"/>
            <family val="2"/>
          </rPr>
          <t xml:space="preserve">
  kW     Füllr       Wass
15 kW  145 Ltr.  115
22 kW  145 Ltr.  115
28 kW  145 Ltr.  115
34 kW  190 Ltr.  175
40 kW  190 Ltr.  175
50 kW  200 Ltr.  170
60 kW  200 Ltr.  170</t>
        </r>
      </text>
    </comment>
    <comment ref="R19" authorId="0">
      <text>
        <r>
          <rPr>
            <b/>
            <sz val="9"/>
            <color indexed="81"/>
            <rFont val="Tahoma"/>
            <family val="2"/>
          </rPr>
          <t>hjh:</t>
        </r>
        <r>
          <rPr>
            <sz val="9"/>
            <color indexed="81"/>
            <rFont val="Tahoma"/>
            <family val="2"/>
          </rPr>
          <t xml:space="preserve">
</t>
        </r>
        <r>
          <rPr>
            <b/>
            <sz val="9"/>
            <color indexed="81"/>
            <rFont val="Tahoma"/>
            <family val="2"/>
          </rPr>
          <t>Proburner o.L.</t>
        </r>
        <r>
          <rPr>
            <sz val="9"/>
            <color indexed="81"/>
            <rFont val="Tahoma"/>
            <family val="2"/>
          </rPr>
          <t xml:space="preserve">
18kW  85Ltr.
25kW  120Ltr.
40kW  185Ltr.
60kW  310Ltr.
80kW  465Ltr.
</t>
        </r>
        <r>
          <rPr>
            <b/>
            <sz val="9"/>
            <color indexed="81"/>
            <rFont val="Tahoma"/>
            <family val="2"/>
          </rPr>
          <t>Mit Lambda</t>
        </r>
        <r>
          <rPr>
            <sz val="9"/>
            <color indexed="81"/>
            <rFont val="Tahoma"/>
            <family val="2"/>
          </rPr>
          <t xml:space="preserve">
25kW 120Ltr.
45kW 185Ltr.
</t>
        </r>
      </text>
    </comment>
    <comment ref="N20" authorId="0">
      <text>
        <r>
          <rPr>
            <b/>
            <sz val="9"/>
            <color indexed="81"/>
            <rFont val="Tahoma"/>
            <charset val="1"/>
          </rPr>
          <t>hjh:</t>
        </r>
        <r>
          <rPr>
            <sz val="9"/>
            <color indexed="81"/>
            <rFont val="Tahoma"/>
            <charset val="1"/>
          </rPr>
          <t xml:space="preserve">
Die max.mit dem HV gefahrene Vorlauftemperatur hier angeben.</t>
        </r>
      </text>
    </comment>
    <comment ref="Q20" authorId="0">
      <text>
        <r>
          <rPr>
            <b/>
            <sz val="9"/>
            <color indexed="81"/>
            <rFont val="Tahoma"/>
            <family val="2"/>
          </rPr>
          <t>hjh: Guntamatic
Biosmart</t>
        </r>
        <r>
          <rPr>
            <sz val="9"/>
            <color indexed="81"/>
            <rFont val="Tahoma"/>
            <family val="2"/>
          </rPr>
          <t xml:space="preserve">
14kW - 100Ltr
22kW - 100Ltr.</t>
        </r>
      </text>
    </comment>
    <comment ref="N21" authorId="0">
      <text>
        <r>
          <rPr>
            <b/>
            <sz val="9"/>
            <color indexed="81"/>
            <rFont val="Tahoma"/>
            <charset val="1"/>
          </rPr>
          <t>hjh:</t>
        </r>
        <r>
          <rPr>
            <sz val="9"/>
            <color indexed="81"/>
            <rFont val="Tahoma"/>
            <charset val="1"/>
          </rPr>
          <t xml:space="preserve">
Die in den Speicher zurück geführte Rücklauftemperatur
</t>
        </r>
      </text>
    </comment>
    <comment ref="Q21" authorId="0">
      <text>
        <r>
          <rPr>
            <b/>
            <sz val="9"/>
            <color indexed="81"/>
            <rFont val="Tahoma"/>
            <family val="2"/>
          </rPr>
          <t>hjh:HDG EURO</t>
        </r>
        <r>
          <rPr>
            <sz val="9"/>
            <color indexed="81"/>
            <rFont val="Tahoma"/>
            <family val="2"/>
          </rPr>
          <t xml:space="preserve">
kW  Füllr  Wasser
30   220     178
40   220     178
50   220     178</t>
        </r>
      </text>
    </comment>
    <comment ref="R21" authorId="0">
      <text>
        <r>
          <rPr>
            <b/>
            <sz val="9"/>
            <color indexed="81"/>
            <rFont val="Tahoma"/>
            <family val="2"/>
          </rPr>
          <t>hjh: VIGAS alt Gebl.</t>
        </r>
        <r>
          <rPr>
            <sz val="9"/>
            <color indexed="81"/>
            <rFont val="Tahoma"/>
            <family val="2"/>
          </rPr>
          <t xml:space="preserve">
14,9kW 120Ltr.
25kW 120Ltr.
40kW 185Ltr.
50kW 315Ltr.
80kW 483Ltr.
</t>
        </r>
        <r>
          <rPr>
            <b/>
            <sz val="9"/>
            <color indexed="81"/>
            <rFont val="Tahoma"/>
            <family val="2"/>
          </rPr>
          <t>Neu E/LC O2 Gebl.</t>
        </r>
        <r>
          <rPr>
            <sz val="9"/>
            <color indexed="81"/>
            <rFont val="Tahoma"/>
            <family val="2"/>
          </rPr>
          <t xml:space="preserve">
  kW  Füll     Wass
16   80Ltr.     60
25   116Ltr.   75
40   180Ltr.   93
60   310Ltr.   180
100  455Ltr.  215</t>
        </r>
      </text>
    </comment>
    <comment ref="Q22" authorId="0">
      <text>
        <r>
          <rPr>
            <b/>
            <sz val="9"/>
            <color indexed="81"/>
            <rFont val="Tahoma"/>
            <family val="2"/>
          </rPr>
          <t>hjh: Herlt</t>
        </r>
        <r>
          <rPr>
            <sz val="9"/>
            <color indexed="81"/>
            <rFont val="Tahoma"/>
            <family val="2"/>
          </rPr>
          <t xml:space="preserve">
         Füllr.   Speich  Anschl
HV 14; 300/0L; 1"
HV 22; 150/2500L;   1"
HV 35; 250/4000L;   1"
HV 49; 500/6000L;   1,5"
HV 65; 500/7500L;   1,5"
HV 145; 1200/15000L; 2"</t>
        </r>
      </text>
    </comment>
    <comment ref="R22" authorId="0">
      <text>
        <r>
          <rPr>
            <b/>
            <sz val="9"/>
            <color indexed="81"/>
            <rFont val="Tahoma"/>
            <family val="2"/>
          </rPr>
          <t>hjh:Viessmann
Vitolligno 200S</t>
        </r>
        <r>
          <rPr>
            <sz val="9"/>
            <color indexed="81"/>
            <rFont val="Tahoma"/>
            <family val="2"/>
          </rPr>
          <t xml:space="preserve">
Leistung Füllr.   Wasser
20Kw  169 Ltr. 150  Ltr.
30Kw  169 Ltr. 150  Ltr.
40Kw  211 Ltr. 160  Ltr.
50Kw  211 Ltr. 160  Ltr.</t>
        </r>
      </text>
    </comment>
    <comment ref="N23" authorId="0">
      <text>
        <r>
          <rPr>
            <b/>
            <sz val="9"/>
            <color indexed="81"/>
            <rFont val="Tahoma"/>
            <charset val="1"/>
          </rPr>
          <t>hjh:</t>
        </r>
        <r>
          <rPr>
            <sz val="9"/>
            <color indexed="81"/>
            <rFont val="Tahoma"/>
            <charset val="1"/>
          </rPr>
          <t xml:space="preserve">
Die durch die Heizlast sich ergebende Wärmeenergie für 24 Stunden bie tiefster Außentemperatur und gewählter Raumtemperatur</t>
        </r>
      </text>
    </comment>
    <comment ref="Q23" authorId="0">
      <text>
        <r>
          <rPr>
            <b/>
            <sz val="9"/>
            <color indexed="81"/>
            <rFont val="Tahoma"/>
            <family val="2"/>
          </rPr>
          <t xml:space="preserve">hjh:Herz LSM11
Sprungsonde
BC18  90Ltr.
BC20 170Ltr.
BC30 170Ltr.
BC40 170Ltr.
</t>
        </r>
        <r>
          <rPr>
            <sz val="9"/>
            <color indexed="81"/>
            <rFont val="Tahoma"/>
            <family val="2"/>
          </rPr>
          <t xml:space="preserve">
</t>
        </r>
      </text>
    </comment>
    <comment ref="N27" authorId="0">
      <text>
        <r>
          <rPr>
            <b/>
            <sz val="9"/>
            <color indexed="81"/>
            <rFont val="Tahoma"/>
            <charset val="1"/>
          </rPr>
          <t>hjh:</t>
        </r>
        <r>
          <rPr>
            <sz val="9"/>
            <color indexed="81"/>
            <rFont val="Tahoma"/>
            <charset val="1"/>
          </rPr>
          <t xml:space="preserve">
Anzahl der Füllungen des HV innerhalb von 24 Stunden</t>
        </r>
      </text>
    </comment>
    <comment ref="N28" authorId="0">
      <text>
        <r>
          <rPr>
            <b/>
            <sz val="9"/>
            <color indexed="81"/>
            <rFont val="Tahoma"/>
            <charset val="1"/>
          </rPr>
          <t>hjh:</t>
        </r>
        <r>
          <rPr>
            <sz val="9"/>
            <color indexed="81"/>
            <rFont val="Tahoma"/>
            <charset val="1"/>
          </rPr>
          <t xml:space="preserve">
Brennzeit des HV bei 1 Füllung des oben angegebenen Brennstoffes</t>
        </r>
      </text>
    </comment>
    <comment ref="N29" authorId="0">
      <text>
        <r>
          <rPr>
            <b/>
            <sz val="9"/>
            <color indexed="81"/>
            <rFont val="Tahoma"/>
            <charset val="1"/>
          </rPr>
          <t>hjh:</t>
        </r>
        <r>
          <rPr>
            <sz val="9"/>
            <color indexed="81"/>
            <rFont val="Tahoma"/>
            <charset val="1"/>
          </rPr>
          <t xml:space="preserve">
Die Gesamt-Brennzeit des HV um die gesamte Wärmeenergie für 24 h bei tiefster AT zu erzeugen</t>
        </r>
      </text>
    </comment>
    <comment ref="N32" authorId="0">
      <text>
        <r>
          <rPr>
            <b/>
            <sz val="9"/>
            <color indexed="81"/>
            <rFont val="Tahoma"/>
            <charset val="1"/>
          </rPr>
          <t>hjh:</t>
        </r>
        <r>
          <rPr>
            <sz val="9"/>
            <color indexed="81"/>
            <rFont val="Tahoma"/>
            <charset val="1"/>
          </rPr>
          <t xml:space="preserve">
Diese Mindestgröße des Speichers deckt die benötigte Wärmeenergie für den Rest der 24 Stunden eines Tages nach dem Aus des HV.
</t>
        </r>
      </text>
    </comment>
    <comment ref="C35" authorId="0">
      <text>
        <r>
          <rPr>
            <b/>
            <sz val="9"/>
            <color indexed="81"/>
            <rFont val="Tahoma"/>
            <family val="2"/>
          </rPr>
          <t>hjh:</t>
        </r>
        <r>
          <rPr>
            <sz val="9"/>
            <color indexed="81"/>
            <rFont val="Tahoma"/>
            <family val="2"/>
          </rPr>
          <t xml:space="preserve">
Ausrechnung bei einer anderen hier angegebenen Außentemperatur
</t>
        </r>
      </text>
    </comment>
    <comment ref="G35" authorId="0">
      <text>
        <r>
          <rPr>
            <b/>
            <sz val="9"/>
            <color indexed="81"/>
            <rFont val="Tahoma"/>
            <family val="2"/>
          </rPr>
          <t>hjh:</t>
        </r>
        <r>
          <rPr>
            <sz val="9"/>
            <color indexed="81"/>
            <rFont val="Tahoma"/>
            <family val="2"/>
          </rPr>
          <t xml:space="preserve">
Neue Heizlast bei der links angegebenen Außentemperatur</t>
        </r>
      </text>
    </comment>
    <comment ref="N35" authorId="0">
      <text>
        <r>
          <rPr>
            <b/>
            <sz val="9"/>
            <color indexed="81"/>
            <rFont val="Tahoma"/>
            <family val="2"/>
          </rPr>
          <t>hjh:</t>
        </r>
        <r>
          <rPr>
            <sz val="9"/>
            <color indexed="81"/>
            <rFont val="Tahoma"/>
            <family val="2"/>
          </rPr>
          <t xml:space="preserve">
Wärmebedarf bei der links angegebenen Außentemperatur</t>
        </r>
      </text>
    </comment>
    <comment ref="D38" authorId="0">
      <text>
        <r>
          <rPr>
            <b/>
            <sz val="9"/>
            <color indexed="81"/>
            <rFont val="Tahoma"/>
            <family val="2"/>
          </rPr>
          <t>hjh:</t>
        </r>
        <r>
          <rPr>
            <sz val="9"/>
            <color indexed="81"/>
            <rFont val="Tahoma"/>
            <family val="2"/>
          </rPr>
          <t xml:space="preserve">
Lz.HV 
= Laufzeit Holzvergaser</t>
        </r>
      </text>
    </comment>
    <comment ref="N40" authorId="0">
      <text>
        <r>
          <rPr>
            <b/>
            <sz val="9"/>
            <color indexed="81"/>
            <rFont val="Tahoma"/>
            <charset val="1"/>
          </rPr>
          <t>hjh:</t>
        </r>
        <r>
          <rPr>
            <sz val="9"/>
            <color indexed="81"/>
            <rFont val="Tahoma"/>
            <charset val="1"/>
          </rPr>
          <t xml:space="preserve">
Freie Ausrechnung bei einer selbst gewählten Speichergröße</t>
        </r>
      </text>
    </comment>
    <comment ref="C47" authorId="0">
      <text>
        <r>
          <rPr>
            <b/>
            <sz val="9"/>
            <color indexed="81"/>
            <rFont val="Tahoma"/>
            <charset val="1"/>
          </rPr>
          <t>hjh:</t>
        </r>
        <r>
          <rPr>
            <sz val="9"/>
            <color indexed="81"/>
            <rFont val="Tahoma"/>
            <charset val="1"/>
          </rPr>
          <t xml:space="preserve">
Aus der sich im Betrieb erzeugten Differenztemperatur des HV (VLT-RLT) ergibt sich die benötigte Mindestfördermenge der eingesetzten Umwälzpumpe.
Dabei sollte der Sollwert der Rücklauftemperaturanhebung (wegen des Kondensatpunktes im Rauchgases von ca. 62°C) größer als 65...68°C gewählt werden.
ACHTUNG!
Bei gefülltem Speicher erfolgt ein Temperatursprung um die gewählte Differenztemperatur!
z.B. Diff.Temp. 10°K --&gt; Vorlauf springt von 80°C auf 90°C wenn der Speicher voll ist. 
Deshalb Differenz nicht zu hoch wählen!</t>
        </r>
      </text>
    </comment>
    <comment ref="F47" authorId="0">
      <text>
        <r>
          <rPr>
            <b/>
            <sz val="9"/>
            <color indexed="81"/>
            <rFont val="Tahoma"/>
            <charset val="1"/>
          </rPr>
          <t>hjh:</t>
        </r>
        <r>
          <rPr>
            <sz val="9"/>
            <color indexed="81"/>
            <rFont val="Tahoma"/>
            <charset val="1"/>
          </rPr>
          <t xml:space="preserve">
Mindest-Fördermenge Umwälzpumpe.
Dabei unbedingt den Druckverlust, auch Förderhöhe genannt, in der Anlage beachten!</t>
        </r>
      </text>
    </comment>
    <comment ref="N47" authorId="0">
      <text>
        <r>
          <rPr>
            <b/>
            <sz val="9"/>
            <color indexed="81"/>
            <rFont val="Tahoma"/>
            <charset val="1"/>
          </rPr>
          <t>hjh:</t>
        </r>
        <r>
          <rPr>
            <sz val="9"/>
            <color indexed="81"/>
            <rFont val="Tahoma"/>
            <charset val="1"/>
          </rPr>
          <t xml:space="preserve">
Bemerkungen siehe linke Seite</t>
        </r>
      </text>
    </comment>
    <comment ref="B48" authorId="0">
      <text>
        <r>
          <rPr>
            <b/>
            <sz val="9"/>
            <color indexed="81"/>
            <rFont val="Tahoma"/>
            <family val="2"/>
          </rPr>
          <t>hjh:
CU Rohr  I-D</t>
        </r>
        <r>
          <rPr>
            <sz val="9"/>
            <color indexed="81"/>
            <rFont val="Tahoma"/>
            <family val="2"/>
          </rPr>
          <t xml:space="preserve">
12x1        10 
15x1        13 
18x1        16 
22x1        20 
28x1,5     25 
35x1,5     32 
42x1,5     39 
54x2        50 
64x2        60 
76,1x2     72,1 
88,9x2     84,9 
108x2,5   103 
133x3      127 
159x3      153 
219x3      213 
267x3      261 
</t>
        </r>
      </text>
    </comment>
    <comment ref="C48" authorId="0">
      <text>
        <r>
          <rPr>
            <b/>
            <sz val="9"/>
            <color indexed="81"/>
            <rFont val="Tahoma"/>
            <family val="2"/>
          </rPr>
          <t>hjh:</t>
        </r>
        <r>
          <rPr>
            <sz val="9"/>
            <color indexed="81"/>
            <rFont val="Tahoma"/>
            <family val="2"/>
          </rPr>
          <t xml:space="preserve">
Zoll       I-D       max
3/8      12,5 
1/2      16,0
3/4      21,6 
1          27,2   1600
1 1/4   35,9    3200
1 1/2   41,8 
2         53,0 
2 1/2  68,8 
3         80,8 
4        105,3 
5        130,0 
</t>
        </r>
      </text>
    </comment>
    <comment ref="G48" authorId="0">
      <text>
        <r>
          <rPr>
            <b/>
            <sz val="9"/>
            <color indexed="81"/>
            <rFont val="Tahoma"/>
            <family val="2"/>
          </rPr>
          <t>hjh:</t>
        </r>
        <r>
          <rPr>
            <sz val="9"/>
            <color indexed="81"/>
            <rFont val="Tahoma"/>
            <family val="2"/>
          </rPr>
          <t xml:space="preserve">
Größe siehe Kommentare in den Feldern links
</t>
        </r>
      </text>
    </comment>
    <comment ref="N50" authorId="0">
      <text>
        <r>
          <rPr>
            <b/>
            <sz val="9"/>
            <color indexed="81"/>
            <rFont val="Tahoma"/>
            <charset val="1"/>
          </rPr>
          <t>hjh:</t>
        </r>
        <r>
          <rPr>
            <sz val="9"/>
            <color indexed="81"/>
            <rFont val="Tahoma"/>
            <charset val="1"/>
          </rPr>
          <t xml:space="preserve">
Ksv-Wert für 3-Wege-Regelventil
Auswahl z.B. Fa. ESBE</t>
        </r>
      </text>
    </comment>
    <comment ref="F51" authorId="0">
      <text>
        <r>
          <rPr>
            <b/>
            <sz val="9"/>
            <color indexed="81"/>
            <rFont val="Tahoma"/>
            <charset val="1"/>
          </rPr>
          <t>hjh:</t>
        </r>
        <r>
          <rPr>
            <sz val="9"/>
            <color indexed="81"/>
            <rFont val="Tahoma"/>
            <charset val="1"/>
          </rPr>
          <t xml:space="preserve">
Fördermenge  zwischen Speicher und Abzweig RLA (Rücklaufanhebung)</t>
        </r>
      </text>
    </comment>
    <comment ref="N51" authorId="0">
      <text>
        <r>
          <rPr>
            <b/>
            <sz val="9"/>
            <color indexed="81"/>
            <rFont val="Tahoma"/>
            <charset val="1"/>
          </rPr>
          <t>hjh:</t>
        </r>
        <r>
          <rPr>
            <sz val="9"/>
            <color indexed="81"/>
            <rFont val="Tahoma"/>
            <charset val="1"/>
          </rPr>
          <t xml:space="preserve">
Bemerkungen siehe linke Seite</t>
        </r>
      </text>
    </comment>
    <comment ref="F55" authorId="0">
      <text>
        <r>
          <rPr>
            <b/>
            <sz val="9"/>
            <color indexed="81"/>
            <rFont val="Tahoma"/>
            <charset val="1"/>
          </rPr>
          <t>hjh:</t>
        </r>
        <r>
          <rPr>
            <sz val="9"/>
            <color indexed="81"/>
            <rFont val="Tahoma"/>
            <charset val="1"/>
          </rPr>
          <t xml:space="preserve">
Hier die "gesamte" Wassermenge der Anlage eintragen.
</t>
        </r>
      </text>
    </comment>
    <comment ref="N55" authorId="0">
      <text>
        <r>
          <rPr>
            <b/>
            <sz val="9"/>
            <color indexed="81"/>
            <rFont val="Tahoma"/>
            <charset val="1"/>
          </rPr>
          <t>hjh:</t>
        </r>
        <r>
          <rPr>
            <sz val="9"/>
            <color indexed="81"/>
            <rFont val="Tahoma"/>
            <charset val="1"/>
          </rPr>
          <t xml:space="preserve">
Mindestgröße Ausdehnungsgefäß
Wird das Gefäß kleiner gewählt wird die Druckdifferenz von kalter zu warmer Anlage größer.
Auslegungsgrundlage:
kalt  10°C ; warm  95°C;
Druck dabei
kalt 1,33bar ; warm 1,8 bar</t>
        </r>
      </text>
    </comment>
    <comment ref="B59" authorId="0">
      <text>
        <r>
          <rPr>
            <b/>
            <sz val="9"/>
            <color indexed="81"/>
            <rFont val="Tahoma"/>
            <charset val="1"/>
          </rPr>
          <t>hjh:</t>
        </r>
        <r>
          <rPr>
            <sz val="9"/>
            <color indexed="81"/>
            <rFont val="Tahoma"/>
            <charset val="1"/>
          </rPr>
          <t xml:space="preserve">
Freie unabhängige Rechnung</t>
        </r>
      </text>
    </comment>
    <comment ref="B83" authorId="0">
      <text>
        <r>
          <rPr>
            <b/>
            <sz val="9"/>
            <color indexed="81"/>
            <rFont val="Tahoma"/>
            <charset val="1"/>
          </rPr>
          <t>hjh:</t>
        </r>
        <r>
          <rPr>
            <sz val="9"/>
            <color indexed="81"/>
            <rFont val="Tahoma"/>
            <charset val="1"/>
          </rPr>
          <t xml:space="preserve">
Freie unabhängige Rechnung</t>
        </r>
      </text>
    </comment>
    <comment ref="N84" authorId="0">
      <text>
        <r>
          <rPr>
            <b/>
            <sz val="9"/>
            <color indexed="81"/>
            <rFont val="Tahoma"/>
            <family val="2"/>
          </rPr>
          <t>hjh:</t>
        </r>
        <r>
          <rPr>
            <sz val="9"/>
            <color indexed="81"/>
            <rFont val="Tahoma"/>
            <family val="2"/>
          </rPr>
          <t xml:space="preserve">
Eintrag der Abwenheit in Stunden bzw. Zeit bis zum nächsten Auflegen</t>
        </r>
      </text>
    </comment>
    <comment ref="G110" authorId="0">
      <text>
        <r>
          <rPr>
            <b/>
            <sz val="9"/>
            <color indexed="81"/>
            <rFont val="Tahoma"/>
            <family val="2"/>
          </rPr>
          <t>hjh:</t>
        </r>
        <r>
          <rPr>
            <sz val="9"/>
            <color indexed="81"/>
            <rFont val="Tahoma"/>
            <family val="2"/>
          </rPr>
          <t xml:space="preserve">
Inhalt in Liter von:
Speicher+Kessel
+Heizkörper+Rohre</t>
        </r>
      </text>
    </comment>
    <comment ref="G111" authorId="0">
      <text>
        <r>
          <rPr>
            <b/>
            <sz val="9"/>
            <color indexed="81"/>
            <rFont val="Tahoma"/>
            <family val="2"/>
          </rPr>
          <t>hjh:</t>
        </r>
        <r>
          <rPr>
            <sz val="9"/>
            <color indexed="81"/>
            <rFont val="Tahoma"/>
            <family val="2"/>
          </rPr>
          <t xml:space="preserve">
max. Temperatur eingeben (bis 95°C)
Bitte beachten:
Es können Temperaturen von über 100°C entstehen!!</t>
        </r>
      </text>
    </comment>
    <comment ref="G112" authorId="1">
      <text>
        <r>
          <rPr>
            <b/>
            <sz val="8"/>
            <color indexed="81"/>
            <rFont val="Tahoma"/>
            <family val="2"/>
          </rPr>
          <t xml:space="preserve">Faktor der Ausdehnung bezogen auf 10°C Anfangstemperatur aus  untenstehender Tabelle </t>
        </r>
      </text>
    </comment>
    <comment ref="G113" authorId="0">
      <text>
        <r>
          <rPr>
            <b/>
            <sz val="9"/>
            <color indexed="81"/>
            <rFont val="Tahoma"/>
            <family val="2"/>
          </rPr>
          <t>hjh:</t>
        </r>
        <r>
          <rPr>
            <sz val="9"/>
            <color indexed="81"/>
            <rFont val="Tahoma"/>
            <family val="2"/>
          </rPr>
          <t xml:space="preserve">
Volumenvergrößerung
der Gesamtwassermenge
bei angegebenem 
Temperaturhub</t>
        </r>
      </text>
    </comment>
    <comment ref="G115" authorId="0">
      <text>
        <r>
          <rPr>
            <b/>
            <sz val="9"/>
            <color indexed="81"/>
            <rFont val="Tahoma"/>
            <family val="2"/>
          </rPr>
          <t>hjh:</t>
        </r>
        <r>
          <rPr>
            <sz val="9"/>
            <color indexed="81"/>
            <rFont val="Tahoma"/>
            <family val="2"/>
          </rPr>
          <t xml:space="preserve">
immer über Vordruck in der Blase! Vorlage 1% vom Volumen. 
Vordruck &gt; 1,1 bar.</t>
        </r>
      </text>
    </comment>
    <comment ref="J115" authorId="0">
      <text>
        <r>
          <rPr>
            <b/>
            <sz val="9"/>
            <color indexed="81"/>
            <rFont val="Tahoma"/>
            <family val="2"/>
          </rPr>
          <t>hjh:</t>
        </r>
        <r>
          <rPr>
            <sz val="9"/>
            <color indexed="81"/>
            <rFont val="Tahoma"/>
            <family val="2"/>
          </rPr>
          <t xml:space="preserve">
gesuchter Anfangsdruck
bei Angabe Größe 
A.-Gefäß und
Enddruck</t>
        </r>
      </text>
    </comment>
    <comment ref="M115" authorId="0">
      <text>
        <r>
          <rPr>
            <b/>
            <sz val="9"/>
            <color indexed="81"/>
            <rFont val="Tahoma"/>
            <family val="2"/>
          </rPr>
          <t>hjh:</t>
        </r>
        <r>
          <rPr>
            <sz val="9"/>
            <color indexed="81"/>
            <rFont val="Tahoma"/>
            <family val="2"/>
          </rPr>
          <t xml:space="preserve">
gegebener Anfangsdruck
bei Angabe Größe 
A.-Gefäß und Enddruck</t>
        </r>
      </text>
    </comment>
    <comment ref="G116" authorId="0">
      <text>
        <r>
          <rPr>
            <b/>
            <sz val="9"/>
            <color indexed="81"/>
            <rFont val="Tahoma"/>
            <family val="2"/>
          </rPr>
          <t>hjh:</t>
        </r>
        <r>
          <rPr>
            <sz val="9"/>
            <color indexed="81"/>
            <rFont val="Tahoma"/>
            <family val="2"/>
          </rPr>
          <t xml:space="preserve">
ca.0,5bar unter Sicherheitsventil!</t>
        </r>
      </text>
    </comment>
    <comment ref="M116" authorId="0">
      <text>
        <r>
          <rPr>
            <b/>
            <sz val="9"/>
            <color indexed="81"/>
            <rFont val="Tahoma"/>
            <family val="2"/>
          </rPr>
          <t>hjh:</t>
        </r>
        <r>
          <rPr>
            <sz val="9"/>
            <color indexed="81"/>
            <rFont val="Tahoma"/>
            <family val="2"/>
          </rPr>
          <t xml:space="preserve">
gesuchter Enddruck
bei Angabe Größe 
A.-Gefäß und
Anfangsdruck</t>
        </r>
      </text>
    </comment>
    <comment ref="G118" authorId="0">
      <text>
        <r>
          <rPr>
            <b/>
            <sz val="9"/>
            <color indexed="81"/>
            <rFont val="Tahoma"/>
            <family val="2"/>
          </rPr>
          <t>hjh:</t>
        </r>
        <r>
          <rPr>
            <sz val="9"/>
            <color indexed="81"/>
            <rFont val="Tahoma"/>
            <family val="2"/>
          </rPr>
          <t xml:space="preserve">
immer nächst größeres
Gefäß auswählen!</t>
        </r>
      </text>
    </comment>
  </commentList>
</comments>
</file>

<file path=xl/sharedStrings.xml><?xml version="1.0" encoding="utf-8"?>
<sst xmlns="http://schemas.openxmlformats.org/spreadsheetml/2006/main" count="259" uniqueCount="181">
  <si>
    <t>kWh</t>
  </si>
  <si>
    <t>h</t>
  </si>
  <si>
    <t>°C</t>
  </si>
  <si>
    <t>kW</t>
  </si>
  <si>
    <t>kg/Ltr.Fr</t>
  </si>
  <si>
    <t>kWh/kg</t>
  </si>
  <si>
    <t>Ltr.</t>
  </si>
  <si>
    <t>Brennstoff Schüttgewicht in kg pro Liter Füllraum</t>
  </si>
  <si>
    <t>Brennzeit für 1 Füllung</t>
  </si>
  <si>
    <t>Betriebszeit HV in 24h</t>
  </si>
  <si>
    <t>Füllungen/24h</t>
  </si>
  <si>
    <t>benötigte Wärmeenergie zur Einlagerung im Speicher für den Aus-Zeitraum des HV</t>
  </si>
  <si>
    <t>Auswahl HV und Speichergröße in Abhängigkeit der Heizlast</t>
  </si>
  <si>
    <t>rot/gelb sind Rechenfelder, nicht ändern</t>
  </si>
  <si>
    <t>blau/grau sind Eingabefelder und änderbar</t>
  </si>
  <si>
    <t>Nadel 0,17;Buche 0,25;Eiche 0,29</t>
  </si>
  <si>
    <t>Füllungen HV in 24h bei tiefster AT  (Kontrolle alle 2-3h)</t>
  </si>
  <si>
    <t>Wirkungsgrad Wärmeerzeugung bis Einbringung in den Speicher  (0,6…0,85)</t>
  </si>
  <si>
    <t>Ladetemperatur zum Speicher  (75…83°C)</t>
  </si>
  <si>
    <t>mitlere Rücklauftemperatur zum Speicher  (25…70°C)</t>
  </si>
  <si>
    <t>Ursprung neue Schweizer Formel:</t>
  </si>
  <si>
    <t>http://www.minergie.ch/leistungsgarantien.html</t>
  </si>
  <si>
    <t>Dimensionierungshilfe Umwälzpumpen:</t>
  </si>
  <si>
    <t>http://www.minergie.ch/tl_files/download/pumpen.pdf</t>
  </si>
  <si>
    <t>Fördermenge Umwälzpumpe, Verrohrung der Anlage</t>
  </si>
  <si>
    <t>Ltr./h          Strömungsgeschw.</t>
  </si>
  <si>
    <t>m/Sek.</t>
  </si>
  <si>
    <t>Verrohrung HV ---&gt; Speicher; Innendurchmesser (zölliges Rohr)</t>
  </si>
  <si>
    <t>PUMPE UND ROHRE NICHT NACH DIESER FÖRDERMENGE AUSLEGEN!!</t>
  </si>
  <si>
    <t>mm (1 " )</t>
  </si>
  <si>
    <t>gesamter Wasserinhalt der Anlage ca.</t>
  </si>
  <si>
    <t>Ltr.(aufrunden)</t>
  </si>
  <si>
    <t>Das Regelventil der Rücklaufanhebung ist auf die unten gewählte Anlagenfördermenge auszuwählen. Kvs-Wert beachten!</t>
  </si>
  <si>
    <t xml:space="preserve">Ltr.   </t>
  </si>
  <si>
    <t>Größe Ausdehnungsgefäß</t>
  </si>
  <si>
    <t>Diese Energie ist ausreichend zum Heizen für   (danach muß wieder angeheizt werden)</t>
  </si>
  <si>
    <t>Füllungen</t>
  </si>
  <si>
    <t>Zum Laden des Speichers benötigte Füllungen des HV (ohne zusätzliche Heizenergie, nur HV in Speicher)</t>
  </si>
  <si>
    <t>Die Formel des Wärmestroms :  Q= m*cp*dTemp*γ</t>
  </si>
  <si>
    <t>Q=Wärmeenergie;m=Masse; cp=1,163 Wh / kg K; dTemp= Temp.-Differenz; γ=Wichte(Gamma)</t>
  </si>
  <si>
    <t>A.-Gefäß immer größer als 150Ltr. pro 1000Ltr. Wassermenge auswählen, auch Druckhaltung mit Umpumpsystem möglich.</t>
  </si>
  <si>
    <t>Benötigte Leistung um eine Wassermenge zu erhitzen</t>
  </si>
  <si>
    <t>Anfangstemperatur von</t>
  </si>
  <si>
    <t>bis zu einer Endtemperatur von</t>
  </si>
  <si>
    <t>entsprechend einer Temperaturdifferenz von</t>
  </si>
  <si>
    <t>°K</t>
  </si>
  <si>
    <t>dazu muß eine Leistung von</t>
  </si>
  <si>
    <t>eine Zeit von</t>
  </si>
  <si>
    <t>Std. in Betr.sein</t>
  </si>
  <si>
    <t>°K (VL-RL)</t>
  </si>
  <si>
    <t>erzeugte Wärmeenergie</t>
  </si>
  <si>
    <t>erwärmte Wassermenge</t>
  </si>
  <si>
    <t>Ltr./h</t>
  </si>
  <si>
    <t>erzeugte Wärmeleistung</t>
  </si>
  <si>
    <t>Brennstoff Heizwert   (4,156 kWh/kg bei ca. 16% Wasser)</t>
  </si>
  <si>
    <t>Betriebszeit der Wärmeleistung</t>
  </si>
  <si>
    <t>http://www.holzvergaser-forum.de/index.php/forum/pufferspeicher/50425-ausdehnungsautomat-fuer-grosse-pufferspeicher#70359</t>
  </si>
  <si>
    <t>Link Funktion Holzvergaser :</t>
  </si>
  <si>
    <t>http://www.holzvergaser-forum.de/index.php/heizungstechnik-und-hintergrund/einsteigerhilfe</t>
  </si>
  <si>
    <t>http://www.bosy-online.de/Heizlastberechnung_nach_DIN_EN_12831.htm</t>
  </si>
  <si>
    <t>http://de.wikipedia.org/wiki/Heizlast</t>
  </si>
  <si>
    <t>Erklärung Heizlast in WIKIPEDIA :</t>
  </si>
  <si>
    <t>ALL © by HJH</t>
  </si>
  <si>
    <t>Link zur Ermittlung der Heizlast von BOSY :</t>
  </si>
  <si>
    <t>Atmos</t>
  </si>
  <si>
    <t>Künzel</t>
  </si>
  <si>
    <t>Strebel</t>
  </si>
  <si>
    <t>Attack</t>
  </si>
  <si>
    <t>Windhager</t>
  </si>
  <si>
    <t>Buderus</t>
  </si>
  <si>
    <t>Öfen</t>
  </si>
  <si>
    <t>ETA _Paradig</t>
  </si>
  <si>
    <t>Orlanski</t>
  </si>
  <si>
    <t>Fröling</t>
  </si>
  <si>
    <t>Proburner</t>
  </si>
  <si>
    <t>Guntamatic</t>
  </si>
  <si>
    <t>HDG</t>
  </si>
  <si>
    <t>Vigas</t>
  </si>
  <si>
    <t>Herlt</t>
  </si>
  <si>
    <t>Viessmann</t>
  </si>
  <si>
    <t>Herz</t>
  </si>
  <si>
    <t>Dichte von luftfreiem Wasser</t>
  </si>
  <si>
    <t>Wert gerundet</t>
  </si>
  <si>
    <t>gesuchter Wert für 1 m³</t>
  </si>
  <si>
    <t>gesuchter Wert für 1 dm³</t>
  </si>
  <si>
    <t>faches Volumen des Dampfes bei 1013mbar</t>
  </si>
  <si>
    <t>Gesuchte Wassertemperatur</t>
  </si>
  <si>
    <t>Wichte pro m³</t>
  </si>
  <si>
    <t>Auslegung Regelventil Rücklaufanhebung</t>
  </si>
  <si>
    <t>http://www.holzvergaser-forum.de/index.php/forum/regelung-und-verbrennung/43176-umbau-orligno200-80kw#43518</t>
  </si>
  <si>
    <t>RT</t>
  </si>
  <si>
    <t xml:space="preserve">AT </t>
  </si>
  <si>
    <t>Std.</t>
  </si>
  <si>
    <t>Wärmebedarf</t>
  </si>
  <si>
    <t>Std.(Lz.HV)</t>
  </si>
  <si>
    <t>http://www.holzvergaser-forum.de/index.php/forum/vigas-allgemein/50072-holzvergaser-kommt-nicht-auf-temperatur#64825</t>
  </si>
  <si>
    <t>Wärmebedarf bei einer geänderten AT von:</t>
  </si>
  <si>
    <t>Tage'n   bzw.</t>
  </si>
  <si>
    <t>Damit ist der Speicher gefüllt nach :</t>
  </si>
  <si>
    <t>Hydr.,Allgem.</t>
  </si>
  <si>
    <t>http://www.holzvergaser-forum.de/index.php/forum/mein-heizungsprojekt/49822-alter-hv-tuts-nicht-mehr-so-richtig#62388</t>
  </si>
  <si>
    <t>Fragen</t>
  </si>
  <si>
    <t>HV Kauf</t>
  </si>
  <si>
    <t>Bilder Umbau eigene Anlage siehe "SIGNATUR HJH"</t>
  </si>
  <si>
    <t>Bilder</t>
  </si>
  <si>
    <t>Heizlast ist die gemittelte Leistung [kW] welche bei tiefster, angenommener Außentemperatur 24h lang benötigt wird um ein Gebäude  auf der gewünschten Innentemperatur zu halten</t>
  </si>
  <si>
    <t>Rechenblatt entsperren (Excel 2010): Überprüfen/Blattschutz aufheben (alles ohne Passwortschutz)</t>
  </si>
  <si>
    <t>Füllraum im HV  [Fr]  (s.Hersteller)</t>
  </si>
  <si>
    <t>http://www.ibo-plan.de/tools/umrechnen-der-heizkoerperleistung-online#heizkoerper-waermeleistung</t>
  </si>
  <si>
    <t>Heizkörp.umrechnen</t>
  </si>
  <si>
    <t>http://www.u-wert.net/berechnung/waermebedarf/</t>
  </si>
  <si>
    <t>http://www.heizlast.de/rohrdim</t>
  </si>
  <si>
    <t>Rohrdimensionierung</t>
  </si>
  <si>
    <t>Weitere Link's (Holzvergaser-Forum) :</t>
  </si>
  <si>
    <t>gewählte Größe des HV, (Wärmeleistung)</t>
  </si>
  <si>
    <t>Verrohrung HV ---&gt; Speicher; Innendurchmesser CU bzw. (zölliges Rohr)</t>
  </si>
  <si>
    <t>Im Füllraum vorhandene Brennstoffenergie bei 1 Füllung</t>
  </si>
  <si>
    <t>Wasser-Erwärmung von</t>
  </si>
  <si>
    <t>mm</t>
  </si>
  <si>
    <t>Verrohrung Innendurchmesser</t>
  </si>
  <si>
    <t>unabhängige Rechnung 1</t>
  </si>
  <si>
    <t>unabhängige Rechnung 2</t>
  </si>
  <si>
    <t>m/s</t>
  </si>
  <si>
    <t>zu erwärmen benötigt man</t>
  </si>
  <si>
    <t>Heizlast dabei</t>
  </si>
  <si>
    <t>Leistung in die Heizung</t>
  </si>
  <si>
    <t>Nachheizen spätestens nach</t>
  </si>
  <si>
    <t>Ausrechnung bei geänderter Außentemperatur</t>
  </si>
  <si>
    <t>Speichergröße</t>
  </si>
  <si>
    <t>Speichertemperaturen</t>
  </si>
  <si>
    <t>Ausführung Holzvergaser</t>
  </si>
  <si>
    <t xml:space="preserve">Link zum Umpumpsystem (Druckregelung statt Ausdehnungsgefäß [ADG] ) :  </t>
  </si>
  <si>
    <t>http://www.holzvergaser-forum.de/index.php/forum/schornstein/50533-stammtisch-diskusion-esse-feucht-holz-egal#72062</t>
  </si>
  <si>
    <t>Tool f. Holzheizer</t>
  </si>
  <si>
    <t>kWh gesamt</t>
  </si>
  <si>
    <t>benötigter Energiebedarf bei tiefster Außentemperatur in 24 h</t>
  </si>
  <si>
    <t>Damit benötigte Energieeinlagerung im Speicher für</t>
  </si>
  <si>
    <t>entsprechend</t>
  </si>
  <si>
    <t>Laufzeit des HV mit 1 Füllung aus obiger Angabe "gewählter HV"</t>
  </si>
  <si>
    <t>Type:</t>
  </si>
  <si>
    <t>Benötigte Leistung des HV bei einer gewünschten Abwesenheit und tiefster AT</t>
  </si>
  <si>
    <t>Heizlast (WW+Hz.) bei Raumtemperatur und  tiefster Außentemperatur</t>
  </si>
  <si>
    <t>Erforderliche Mindestspeichergröße für diese Zeit (Mindest-Speichergröße für 1 Abbrand)</t>
  </si>
  <si>
    <t>%</t>
  </si>
  <si>
    <t>Füllgrad</t>
  </si>
  <si>
    <t>Verbleibende mögliche Betriebszeit des HV innerhalb der 24h eines Tages</t>
  </si>
  <si>
    <t>Erforderliche Mindestspeichergröße für diese Zeit (Mindest-Speichergröße für restlichen Abbrand)</t>
  </si>
  <si>
    <t>Benötigte Mindest-Speichergröße für 24-h Betriebszeit</t>
  </si>
  <si>
    <t>Aufgeteilte Heiz-/Abwesenheitszeit</t>
  </si>
  <si>
    <t>Energieerzeugung für Restzeit</t>
  </si>
  <si>
    <t xml:space="preserve">Mögliche und tatsächliche Betriebszeit HV </t>
  </si>
  <si>
    <t>errechnete Mindestgröße des Speichers bei Einmalheizen(bei Heizen mit Abwesenheit s. unten Blatt 3)</t>
  </si>
  <si>
    <t>Auslegung Ausdehnungsgefäß</t>
  </si>
  <si>
    <t>gesucht:</t>
  </si>
  <si>
    <t>Größe A.-Gef.</t>
  </si>
  <si>
    <t>gesucht</t>
  </si>
  <si>
    <t>Wassermenge Gesamtanlage</t>
  </si>
  <si>
    <t>Enddruck</t>
  </si>
  <si>
    <t>Ausdehnung von 10°C bis</t>
  </si>
  <si>
    <t>Ausdehnungsvolumen</t>
  </si>
  <si>
    <t>AV</t>
  </si>
  <si>
    <t>AD</t>
  </si>
  <si>
    <t>bar</t>
  </si>
  <si>
    <t>ED</t>
  </si>
  <si>
    <t>Größe Ausdehnungsgefäss</t>
  </si>
  <si>
    <t>NV</t>
  </si>
  <si>
    <t>Auswahl immer größer wie Ausrechnung, nicht kleiner!</t>
  </si>
  <si>
    <t>Um Kavitation der Pumpen zu vermeiden Anfangsdruck &gt; 1,1bar wählen!</t>
  </si>
  <si>
    <t>druck</t>
  </si>
  <si>
    <t>Anfangs-</t>
  </si>
  <si>
    <t>Wasserausdehnung in % in Abhängigkeit von der Vorlauftemperatur (bezogen auf 10°C)</t>
  </si>
  <si>
    <t>tv °C</t>
  </si>
  <si>
    <t>n  %</t>
  </si>
  <si>
    <t>Ausrechnung für Ausdehnungsgefäß (ADG)</t>
  </si>
  <si>
    <t>Erforderliche Speichergröße beim Heizen mit Abwesenheit (Aufteilung der Heizzeiten)</t>
  </si>
  <si>
    <t>benötigte Wärmeenergie zur Einlagerung im Speicher für 24 h</t>
  </si>
  <si>
    <t>Speichergröße dazu</t>
  </si>
  <si>
    <t>VIGAS 25kW</t>
  </si>
  <si>
    <t>Gewünschte Dauer der 1.Heizzeit aus Speicher mit 1x HV-Betrieb (z.B. bei Abwesenheit)</t>
  </si>
  <si>
    <t>benötigte Gesamt-Betriebszeit um Tagesenergie zu erzeugen</t>
  </si>
  <si>
    <t>Benötigte Mindestleistung des HV (gleiche Leistung wie bei Einmalheizen)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</si>
</sst>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
    <numFmt numFmtId="167" formatCode="#,##0.0"/>
  </numFmts>
  <fonts count="48" x14ac:knownFonts="1">
    <font>
      <sz val="10"/>
      <color theme="1"/>
      <name val="Calibri"/>
      <family val="2"/>
      <scheme val="minor"/>
    </font>
    <font>
      <sz val="10"/>
      <color rgb="FFFF0000"/>
      <name val="Calibri"/>
      <family val="2"/>
      <scheme val="minor"/>
    </font>
    <font>
      <b/>
      <u/>
      <sz val="16"/>
      <color theme="1"/>
      <name val="Calibri"/>
      <family val="2"/>
      <scheme val="minor"/>
    </font>
    <font>
      <sz val="10"/>
      <color rgb="FF0137AF"/>
      <name val="Calibri"/>
      <family val="2"/>
      <scheme val="minor"/>
    </font>
    <font>
      <b/>
      <sz val="12"/>
      <color rgb="FFFF0000"/>
      <name val="Calibri"/>
      <family val="2"/>
      <scheme val="minor"/>
    </font>
    <font>
      <b/>
      <sz val="12"/>
      <color rgb="FF0137AF"/>
      <name val="Calibri"/>
      <family val="2"/>
      <scheme val="minor"/>
    </font>
    <font>
      <b/>
      <sz val="10"/>
      <color theme="1"/>
      <name val="Calibri"/>
      <family val="2"/>
      <scheme val="minor"/>
    </font>
    <font>
      <u/>
      <sz val="11"/>
      <color theme="10"/>
      <name val="Calibri"/>
      <family val="2"/>
    </font>
    <font>
      <b/>
      <u/>
      <sz val="14"/>
      <color theme="1"/>
      <name val="Calibri"/>
      <family val="2"/>
      <scheme val="minor"/>
    </font>
    <font>
      <sz val="10"/>
      <name val="Arial"/>
      <family val="2"/>
    </font>
    <font>
      <sz val="10"/>
      <color rgb="FFFF0000"/>
      <name val="Arial"/>
      <family val="2"/>
    </font>
    <font>
      <sz val="11"/>
      <color rgb="FFFF0000"/>
      <name val="Calibri"/>
      <family val="2"/>
      <scheme val="minor"/>
    </font>
    <font>
      <sz val="10"/>
      <color indexed="10"/>
      <name val="Arial"/>
      <family val="2"/>
    </font>
    <font>
      <sz val="11"/>
      <color rgb="FF0000FF"/>
      <name val="Calibri"/>
      <family val="2"/>
      <scheme val="minor"/>
    </font>
    <font>
      <sz val="10"/>
      <color rgb="FF0000FF"/>
      <name val="Arial"/>
      <family val="2"/>
    </font>
    <font>
      <b/>
      <sz val="9"/>
      <color indexed="81"/>
      <name val="Tahoma"/>
      <family val="2"/>
    </font>
    <font>
      <sz val="9"/>
      <color indexed="81"/>
      <name val="Tahoma"/>
      <family val="2"/>
    </font>
    <font>
      <b/>
      <sz val="10"/>
      <color rgb="FF0000FF"/>
      <name val="Arial"/>
      <family val="2"/>
    </font>
    <font>
      <sz val="9"/>
      <name val="Arial"/>
      <family val="2"/>
    </font>
    <font>
      <sz val="10"/>
      <color indexed="12"/>
      <name val="Arial"/>
      <family val="2"/>
    </font>
    <font>
      <sz val="10"/>
      <color rgb="FF0137AF"/>
      <name val="Arial"/>
      <family val="2"/>
    </font>
    <font>
      <sz val="9"/>
      <color indexed="81"/>
      <name val="Tahoma"/>
      <charset val="1"/>
    </font>
    <font>
      <b/>
      <sz val="9"/>
      <color indexed="81"/>
      <name val="Tahoma"/>
      <charset val="1"/>
    </font>
    <font>
      <b/>
      <u/>
      <sz val="10"/>
      <name val="Arial"/>
      <family val="2"/>
    </font>
    <font>
      <sz val="11"/>
      <name val="Calibri"/>
      <family val="2"/>
      <scheme val="minor"/>
    </font>
    <font>
      <b/>
      <sz val="14"/>
      <color rgb="FFFF0000"/>
      <name val="Calibri"/>
      <family val="2"/>
      <scheme val="minor"/>
    </font>
    <font>
      <b/>
      <sz val="11"/>
      <color rgb="FFFF0000"/>
      <name val="Calibri"/>
      <family val="2"/>
      <scheme val="minor"/>
    </font>
    <font>
      <sz val="12"/>
      <color rgb="FF0137AF"/>
      <name val="Calibri"/>
      <family val="2"/>
      <scheme val="minor"/>
    </font>
    <font>
      <sz val="10"/>
      <color rgb="FF0070C0"/>
      <name val="Arial"/>
      <family val="2"/>
    </font>
    <font>
      <sz val="10"/>
      <color rgb="FF0070C0"/>
      <name val="Calibri"/>
      <family val="2"/>
      <scheme val="minor"/>
    </font>
    <font>
      <sz val="9"/>
      <color theme="1"/>
      <name val="Calibri"/>
      <family val="2"/>
      <scheme val="minor"/>
    </font>
    <font>
      <sz val="9"/>
      <color rgb="FFFF0000"/>
      <name val="Arial"/>
      <family val="2"/>
    </font>
    <font>
      <sz val="8"/>
      <color rgb="FFFF0000"/>
      <name val="Arial"/>
      <family val="2"/>
    </font>
    <font>
      <sz val="8"/>
      <color rgb="FFFF0000"/>
      <name val="Calibri"/>
      <family val="2"/>
      <scheme val="minor"/>
    </font>
    <font>
      <b/>
      <u/>
      <sz val="10"/>
      <color theme="1"/>
      <name val="Calibri"/>
      <family val="2"/>
      <scheme val="minor"/>
    </font>
    <font>
      <b/>
      <u/>
      <sz val="10"/>
      <name val="Calibri"/>
      <family val="2"/>
      <scheme val="minor"/>
    </font>
    <font>
      <sz val="11"/>
      <color rgb="FF0137AF"/>
      <name val="Calibri"/>
      <family val="2"/>
      <scheme val="minor"/>
    </font>
    <font>
      <b/>
      <sz val="11"/>
      <color rgb="FF0137AF"/>
      <name val="Calibri"/>
      <family val="2"/>
      <scheme val="minor"/>
    </font>
    <font>
      <sz val="11"/>
      <color theme="1"/>
      <name val="Calibri"/>
      <family val="2"/>
      <scheme val="minor"/>
    </font>
    <font>
      <b/>
      <sz val="11"/>
      <color theme="1"/>
      <name val="Calibri"/>
      <family val="2"/>
      <scheme val="minor"/>
    </font>
    <font>
      <b/>
      <sz val="11"/>
      <color rgb="FF000000"/>
      <name val="Calibri"/>
      <family val="2"/>
    </font>
    <font>
      <b/>
      <sz val="10"/>
      <name val="Arial"/>
      <family val="2"/>
    </font>
    <font>
      <b/>
      <sz val="8"/>
      <color indexed="81"/>
      <name val="Tahoma"/>
      <family val="2"/>
    </font>
    <font>
      <sz val="7"/>
      <name val="Arial"/>
      <family val="2"/>
    </font>
    <font>
      <sz val="9"/>
      <color rgb="FF0000FF"/>
      <name val="Calibri"/>
      <family val="2"/>
      <scheme val="minor"/>
    </font>
    <font>
      <sz val="9"/>
      <color rgb="FF0000FF"/>
      <name val="Arial"/>
      <family val="2"/>
    </font>
    <font>
      <sz val="9"/>
      <color indexed="10"/>
      <name val="Arial"/>
      <family val="2"/>
    </font>
    <font>
      <b/>
      <u/>
      <sz val="11"/>
      <color rgb="FF0000FF"/>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BFBFBF"/>
        <bgColor indexed="64"/>
      </patternFill>
    </fill>
    <fill>
      <patternFill patternType="solid">
        <fgColor indexed="13"/>
        <bgColor indexed="64"/>
      </patternFill>
    </fill>
    <fill>
      <patternFill patternType="solid">
        <fgColor indexed="22"/>
        <bgColor indexed="64"/>
      </patternFill>
    </fill>
    <fill>
      <patternFill patternType="solid">
        <fgColor rgb="FFC0C0C0"/>
        <bgColor indexed="64"/>
      </patternFill>
    </fill>
    <fill>
      <patternFill patternType="solid">
        <fgColor rgb="FFFFFF99"/>
        <bgColor indexed="64"/>
      </patternFill>
    </fill>
    <fill>
      <patternFill patternType="solid">
        <fgColor rgb="FFFFC000"/>
        <bgColor indexed="64"/>
      </patternFill>
    </fill>
    <fill>
      <patternFill patternType="solid">
        <fgColor rgb="FFF84A4E"/>
        <bgColor indexed="64"/>
      </patternFill>
    </fill>
    <fill>
      <patternFill patternType="solid">
        <fgColor rgb="FFFFBAAF"/>
        <bgColor indexed="64"/>
      </patternFill>
    </fill>
    <fill>
      <patternFill patternType="solid">
        <fgColor indexed="42"/>
        <bgColor indexed="64"/>
      </patternFill>
    </fill>
  </fills>
  <borders count="33">
    <border>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double">
        <color indexed="64"/>
      </bottom>
      <diagonal/>
    </border>
    <border>
      <left/>
      <right style="medium">
        <color indexed="64"/>
      </right>
      <top/>
      <bottom style="double">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67">
    <xf numFmtId="0" fontId="0" fillId="0" borderId="0" xfId="0"/>
    <xf numFmtId="0" fontId="1" fillId="2" borderId="0" xfId="0" applyFont="1" applyFill="1"/>
    <xf numFmtId="164" fontId="1" fillId="2" borderId="0" xfId="0" applyNumberFormat="1" applyFont="1" applyFill="1"/>
    <xf numFmtId="0" fontId="1" fillId="0" borderId="0" xfId="0" applyFont="1" applyFill="1"/>
    <xf numFmtId="0" fontId="2" fillId="0" borderId="0" xfId="0" applyFont="1"/>
    <xf numFmtId="164" fontId="3" fillId="3" borderId="0" xfId="0" applyNumberFormat="1" applyFont="1" applyFill="1"/>
    <xf numFmtId="0" fontId="4" fillId="2" borderId="0" xfId="0" applyFont="1" applyFill="1"/>
    <xf numFmtId="164" fontId="4" fillId="2" borderId="0" xfId="0" applyNumberFormat="1" applyFont="1" applyFill="1"/>
    <xf numFmtId="3" fontId="4" fillId="2" borderId="0" xfId="0" applyNumberFormat="1" applyFont="1" applyFill="1"/>
    <xf numFmtId="164" fontId="5" fillId="3" borderId="0" xfId="0" applyNumberFormat="1" applyFont="1" applyFill="1"/>
    <xf numFmtId="164" fontId="5" fillId="3" borderId="0" xfId="0" applyNumberFormat="1" applyFont="1" applyFill="1" applyProtection="1">
      <protection locked="0"/>
    </xf>
    <xf numFmtId="0" fontId="0" fillId="0" borderId="0" xfId="0" applyProtection="1">
      <protection locked="0"/>
    </xf>
    <xf numFmtId="164" fontId="3" fillId="3" borderId="0" xfId="0" applyNumberFormat="1" applyFont="1" applyFill="1" applyProtection="1">
      <protection locked="0"/>
    </xf>
    <xf numFmtId="165" fontId="3" fillId="3" borderId="0" xfId="0" applyNumberFormat="1" applyFont="1" applyFill="1" applyProtection="1">
      <protection locked="0"/>
    </xf>
    <xf numFmtId="2" fontId="3" fillId="3" borderId="0" xfId="0" applyNumberFormat="1" applyFont="1" applyFill="1" applyProtection="1">
      <protection locked="0"/>
    </xf>
    <xf numFmtId="0" fontId="0" fillId="0" borderId="0" xfId="0" applyBorder="1"/>
    <xf numFmtId="0" fontId="0" fillId="0" borderId="0" xfId="0" applyBorder="1" applyAlignment="1">
      <alignment horizontal="center"/>
    </xf>
    <xf numFmtId="0" fontId="7" fillId="0" borderId="0" xfId="1" applyBorder="1" applyAlignment="1" applyProtection="1"/>
    <xf numFmtId="0" fontId="8" fillId="0" borderId="0" xfId="0" applyFont="1" applyBorder="1" applyAlignment="1">
      <alignment horizontal="left"/>
    </xf>
    <xf numFmtId="0" fontId="9" fillId="0" borderId="0" xfId="0" applyFont="1" applyFill="1" applyBorder="1" applyAlignment="1">
      <alignment horizontal="center"/>
    </xf>
    <xf numFmtId="0" fontId="9" fillId="0" borderId="0" xfId="0" applyFont="1" applyFill="1" applyBorder="1"/>
    <xf numFmtId="164" fontId="9" fillId="0" borderId="0" xfId="0" applyNumberFormat="1" applyFont="1" applyFill="1" applyBorder="1"/>
    <xf numFmtId="0" fontId="9" fillId="0" borderId="2" xfId="0" applyFont="1" applyFill="1" applyBorder="1"/>
    <xf numFmtId="165" fontId="9" fillId="0" borderId="1" xfId="0" applyNumberFormat="1" applyFont="1" applyFill="1" applyBorder="1"/>
    <xf numFmtId="165" fontId="10" fillId="2" borderId="3" xfId="0" applyNumberFormat="1" applyFont="1" applyFill="1" applyBorder="1"/>
    <xf numFmtId="0" fontId="10" fillId="2" borderId="4" xfId="0" applyFont="1" applyFill="1" applyBorder="1" applyAlignment="1">
      <alignment horizontal="center"/>
    </xf>
    <xf numFmtId="164" fontId="11" fillId="2" borderId="4" xfId="0" applyNumberFormat="1" applyFont="1" applyFill="1" applyBorder="1"/>
    <xf numFmtId="0" fontId="10" fillId="2" borderId="4" xfId="0" applyFont="1" applyFill="1" applyBorder="1"/>
    <xf numFmtId="166" fontId="12" fillId="4" borderId="4" xfId="0" applyNumberFormat="1" applyFont="1" applyFill="1" applyBorder="1"/>
    <xf numFmtId="0" fontId="13" fillId="3" borderId="6" xfId="0" applyFont="1" applyFill="1" applyBorder="1" applyAlignment="1">
      <alignment horizontal="left"/>
    </xf>
    <xf numFmtId="0" fontId="13" fillId="3" borderId="7" xfId="0" applyFont="1" applyFill="1" applyBorder="1" applyAlignment="1">
      <alignment horizontal="center"/>
    </xf>
    <xf numFmtId="0" fontId="14" fillId="3" borderId="7" xfId="0" applyFont="1" applyFill="1" applyBorder="1" applyAlignment="1">
      <alignment horizontal="center"/>
    </xf>
    <xf numFmtId="164" fontId="10" fillId="2" borderId="7" xfId="0" applyNumberFormat="1" applyFont="1" applyFill="1" applyBorder="1"/>
    <xf numFmtId="0" fontId="10" fillId="2" borderId="8" xfId="0" applyFont="1" applyFill="1" applyBorder="1"/>
    <xf numFmtId="0" fontId="10" fillId="2" borderId="0" xfId="0" applyFont="1" applyFill="1" applyBorder="1" applyAlignment="1">
      <alignment horizontal="center"/>
    </xf>
    <xf numFmtId="164" fontId="11" fillId="2" borderId="0" xfId="0" applyNumberFormat="1" applyFont="1" applyFill="1" applyBorder="1"/>
    <xf numFmtId="0" fontId="10" fillId="2" borderId="0" xfId="0" applyFont="1" applyFill="1" applyBorder="1"/>
    <xf numFmtId="166" fontId="12" fillId="4" borderId="0" xfId="0" applyNumberFormat="1" applyFont="1" applyFill="1" applyBorder="1"/>
    <xf numFmtId="0" fontId="11" fillId="2" borderId="1" xfId="0" applyFont="1" applyFill="1" applyBorder="1" applyAlignment="1">
      <alignment horizontal="left"/>
    </xf>
    <xf numFmtId="0" fontId="11" fillId="2" borderId="0" xfId="0" applyFont="1" applyFill="1" applyBorder="1" applyAlignment="1">
      <alignment horizontal="center"/>
    </xf>
    <xf numFmtId="164" fontId="11" fillId="2" borderId="7" xfId="0" applyNumberFormat="1" applyFont="1" applyFill="1" applyBorder="1"/>
    <xf numFmtId="0" fontId="13" fillId="0" borderId="1" xfId="0" applyFont="1" applyFill="1" applyBorder="1" applyAlignment="1">
      <alignment horizontal="left"/>
    </xf>
    <xf numFmtId="0" fontId="13" fillId="0" borderId="0" xfId="0" applyFont="1" applyFill="1" applyBorder="1" applyAlignment="1">
      <alignment horizontal="center"/>
    </xf>
    <xf numFmtId="0" fontId="14" fillId="0" borderId="0" xfId="0" applyFont="1" applyFill="1" applyBorder="1" applyAlignment="1">
      <alignment horizontal="center"/>
    </xf>
    <xf numFmtId="0" fontId="0" fillId="0" borderId="0" xfId="0" applyFill="1" applyBorder="1"/>
    <xf numFmtId="0" fontId="14" fillId="0" borderId="0" xfId="0" applyFont="1" applyFill="1" applyBorder="1"/>
    <xf numFmtId="164" fontId="11" fillId="0" borderId="0" xfId="0" applyNumberFormat="1" applyFont="1" applyFill="1" applyBorder="1"/>
    <xf numFmtId="0" fontId="10" fillId="0" borderId="2" xfId="0" applyFont="1" applyFill="1" applyBorder="1"/>
    <xf numFmtId="165" fontId="9" fillId="0" borderId="3" xfId="0" applyNumberFormat="1" applyFont="1" applyFill="1" applyBorder="1"/>
    <xf numFmtId="0" fontId="9" fillId="0" borderId="4" xfId="0" applyFont="1" applyFill="1" applyBorder="1" applyAlignment="1">
      <alignment horizontal="center"/>
    </xf>
    <xf numFmtId="0" fontId="9" fillId="0" borderId="4" xfId="0" applyFont="1" applyFill="1" applyBorder="1"/>
    <xf numFmtId="164" fontId="9" fillId="0" borderId="4" xfId="0" applyNumberFormat="1" applyFont="1" applyFill="1" applyBorder="1"/>
    <xf numFmtId="0" fontId="9" fillId="0" borderId="5" xfId="0" applyFont="1" applyFill="1" applyBorder="1"/>
    <xf numFmtId="0" fontId="11" fillId="2" borderId="5" xfId="0" applyFont="1" applyFill="1" applyBorder="1"/>
    <xf numFmtId="0" fontId="11" fillId="2" borderId="2" xfId="0" applyFont="1" applyFill="1" applyBorder="1"/>
    <xf numFmtId="0" fontId="0" fillId="3" borderId="7" xfId="0" applyFill="1" applyBorder="1" applyProtection="1">
      <protection locked="0"/>
    </xf>
    <xf numFmtId="0" fontId="14" fillId="3" borderId="7" xfId="0" applyFont="1" applyFill="1" applyBorder="1" applyProtection="1">
      <protection locked="0"/>
    </xf>
    <xf numFmtId="0" fontId="6" fillId="0" borderId="0" xfId="0" applyFont="1" applyAlignment="1">
      <alignment horizontal="center"/>
    </xf>
    <xf numFmtId="165" fontId="17" fillId="3" borderId="3" xfId="0" applyNumberFormat="1" applyFont="1" applyFill="1" applyBorder="1"/>
    <xf numFmtId="165" fontId="17" fillId="3" borderId="4" xfId="0" applyNumberFormat="1" applyFont="1" applyFill="1" applyBorder="1"/>
    <xf numFmtId="165" fontId="17" fillId="3" borderId="5" xfId="0" applyNumberFormat="1" applyFont="1" applyFill="1" applyBorder="1"/>
    <xf numFmtId="0" fontId="1" fillId="2" borderId="1" xfId="0" applyFont="1" applyFill="1" applyBorder="1"/>
    <xf numFmtId="0" fontId="1" fillId="2" borderId="0" xfId="0" applyFont="1" applyFill="1" applyBorder="1"/>
    <xf numFmtId="0" fontId="1" fillId="2" borderId="2" xfId="0" applyFont="1" applyFill="1" applyBorder="1"/>
    <xf numFmtId="2" fontId="1" fillId="2" borderId="0" xfId="0" applyNumberFormat="1" applyFont="1" applyFill="1" applyBorder="1"/>
    <xf numFmtId="0" fontId="18" fillId="0" borderId="0" xfId="0" applyFont="1" applyFill="1" applyBorder="1" applyAlignment="1">
      <alignment horizontal="left"/>
    </xf>
    <xf numFmtId="0" fontId="0" fillId="0" borderId="0" xfId="0" quotePrefix="1" applyBorder="1" applyAlignment="1">
      <alignment horizontal="center"/>
    </xf>
    <xf numFmtId="165" fontId="19" fillId="5" borderId="3" xfId="0" applyNumberFormat="1" applyFont="1" applyFill="1" applyBorder="1"/>
    <xf numFmtId="165" fontId="19" fillId="5" borderId="4" xfId="0" applyNumberFormat="1" applyFont="1" applyFill="1" applyBorder="1"/>
    <xf numFmtId="165" fontId="19" fillId="5" borderId="1" xfId="0" applyNumberFormat="1" applyFont="1" applyFill="1" applyBorder="1"/>
    <xf numFmtId="165" fontId="19" fillId="5" borderId="0" xfId="0" applyNumberFormat="1" applyFont="1" applyFill="1" applyBorder="1"/>
    <xf numFmtId="0" fontId="12" fillId="4" borderId="1" xfId="0" applyFont="1" applyFill="1" applyBorder="1"/>
    <xf numFmtId="0" fontId="12" fillId="4" borderId="0" xfId="0" applyFont="1" applyFill="1" applyBorder="1"/>
    <xf numFmtId="164" fontId="12" fillId="4" borderId="0" xfId="0" applyNumberFormat="1" applyFont="1" applyFill="1" applyBorder="1"/>
    <xf numFmtId="0" fontId="13" fillId="3" borderId="12" xfId="0" applyFont="1" applyFill="1" applyBorder="1"/>
    <xf numFmtId="0" fontId="13" fillId="3" borderId="13" xfId="0" applyFont="1" applyFill="1" applyBorder="1"/>
    <xf numFmtId="165" fontId="19" fillId="5" borderId="5" xfId="0" applyNumberFormat="1" applyFont="1" applyFill="1" applyBorder="1"/>
    <xf numFmtId="165" fontId="19" fillId="5" borderId="2" xfId="0" applyNumberFormat="1" applyFont="1" applyFill="1" applyBorder="1"/>
    <xf numFmtId="0" fontId="12" fillId="4" borderId="2" xfId="0" applyFont="1" applyFill="1" applyBorder="1"/>
    <xf numFmtId="0" fontId="14" fillId="5" borderId="14" xfId="0" applyFont="1" applyFill="1" applyBorder="1"/>
    <xf numFmtId="0" fontId="11" fillId="2" borderId="9" xfId="0" applyFont="1" applyFill="1" applyBorder="1"/>
    <xf numFmtId="0" fontId="11" fillId="2" borderId="10" xfId="0" applyFont="1" applyFill="1" applyBorder="1"/>
    <xf numFmtId="0" fontId="12" fillId="4" borderId="10" xfId="0" applyFont="1" applyFill="1" applyBorder="1"/>
    <xf numFmtId="0" fontId="12" fillId="4" borderId="11" xfId="0" applyFont="1" applyFill="1" applyBorder="1"/>
    <xf numFmtId="165" fontId="19" fillId="5" borderId="13" xfId="0" applyNumberFormat="1" applyFont="1" applyFill="1" applyBorder="1"/>
    <xf numFmtId="164" fontId="14" fillId="3" borderId="7" xfId="0" applyNumberFormat="1" applyFont="1" applyFill="1" applyBorder="1" applyProtection="1">
      <protection locked="0"/>
    </xf>
    <xf numFmtId="165" fontId="19" fillId="6" borderId="0" xfId="0" applyNumberFormat="1" applyFont="1" applyFill="1" applyBorder="1"/>
    <xf numFmtId="2" fontId="12" fillId="4" borderId="10" xfId="0" applyNumberFormat="1" applyFont="1" applyFill="1" applyBorder="1"/>
    <xf numFmtId="0" fontId="12" fillId="4" borderId="9" xfId="0" applyFont="1" applyFill="1" applyBorder="1"/>
    <xf numFmtId="1" fontId="12" fillId="4" borderId="10" xfId="0" applyNumberFormat="1" applyFont="1" applyFill="1" applyBorder="1"/>
    <xf numFmtId="0" fontId="3" fillId="0" borderId="0" xfId="0" applyFont="1" applyFill="1" applyBorder="1"/>
    <xf numFmtId="0" fontId="13" fillId="3" borderId="4" xfId="0" applyFont="1" applyFill="1" applyBorder="1" applyAlignment="1">
      <alignment horizontal="left"/>
    </xf>
    <xf numFmtId="0" fontId="13" fillId="3" borderId="3" xfId="0" applyFont="1" applyFill="1" applyBorder="1" applyAlignment="1">
      <alignment horizontal="left"/>
    </xf>
    <xf numFmtId="0" fontId="13" fillId="3" borderId="4" xfId="0" applyFont="1" applyFill="1" applyBorder="1" applyAlignment="1">
      <alignment horizontal="center"/>
    </xf>
    <xf numFmtId="0" fontId="14" fillId="3" borderId="4" xfId="0" applyFont="1" applyFill="1" applyBorder="1" applyAlignment="1">
      <alignment horizontal="center"/>
    </xf>
    <xf numFmtId="0" fontId="14" fillId="3" borderId="4" xfId="0" applyFont="1" applyFill="1" applyBorder="1"/>
    <xf numFmtId="1" fontId="10" fillId="2" borderId="4" xfId="0" applyNumberFormat="1" applyFont="1" applyFill="1" applyBorder="1"/>
    <xf numFmtId="0" fontId="10" fillId="2" borderId="5" xfId="0" applyFont="1" applyFill="1" applyBorder="1"/>
    <xf numFmtId="0" fontId="11" fillId="2" borderId="9" xfId="0" applyFont="1" applyFill="1" applyBorder="1" applyAlignment="1">
      <alignment horizontal="left"/>
    </xf>
    <xf numFmtId="0" fontId="11" fillId="2" borderId="10" xfId="0" applyFont="1" applyFill="1" applyBorder="1" applyAlignment="1">
      <alignment horizontal="center"/>
    </xf>
    <xf numFmtId="0" fontId="11" fillId="2" borderId="11" xfId="0" applyFont="1" applyFill="1" applyBorder="1"/>
    <xf numFmtId="0" fontId="1" fillId="2" borderId="9" xfId="0" applyFont="1" applyFill="1" applyBorder="1"/>
    <xf numFmtId="0" fontId="1" fillId="2" borderId="10" xfId="0" applyFont="1" applyFill="1" applyBorder="1"/>
    <xf numFmtId="2" fontId="1" fillId="2" borderId="10" xfId="0" applyNumberFormat="1" applyFont="1" applyFill="1" applyBorder="1"/>
    <xf numFmtId="0" fontId="1" fillId="2" borderId="11" xfId="0" applyFont="1" applyFill="1" applyBorder="1"/>
    <xf numFmtId="0" fontId="7" fillId="0" borderId="0" xfId="1" applyAlignment="1" applyProtection="1"/>
    <xf numFmtId="0" fontId="7" fillId="0" borderId="0" xfId="1" applyAlignment="1" applyProtection="1">
      <alignment vertical="center"/>
    </xf>
    <xf numFmtId="0" fontId="23" fillId="0" borderId="0" xfId="0" applyFont="1" applyBorder="1"/>
    <xf numFmtId="165" fontId="19" fillId="0" borderId="0" xfId="0" applyNumberFormat="1" applyFont="1" applyFill="1" applyBorder="1"/>
    <xf numFmtId="0" fontId="8" fillId="0" borderId="1" xfId="0" applyFont="1" applyBorder="1" applyAlignment="1">
      <alignment horizontal="left"/>
    </xf>
    <xf numFmtId="0" fontId="24" fillId="0" borderId="0" xfId="0" applyFont="1" applyFill="1" applyBorder="1" applyAlignment="1">
      <alignment horizontal="center"/>
    </xf>
    <xf numFmtId="0" fontId="24" fillId="0" borderId="0" xfId="0" applyFont="1" applyFill="1" applyBorder="1"/>
    <xf numFmtId="0" fontId="11" fillId="2" borderId="7" xfId="0" applyFont="1" applyFill="1" applyBorder="1" applyAlignment="1">
      <alignment horizontal="left"/>
    </xf>
    <xf numFmtId="0" fontId="25" fillId="2" borderId="7" xfId="0" applyFont="1" applyFill="1" applyBorder="1" applyAlignment="1">
      <alignment horizontal="center"/>
    </xf>
    <xf numFmtId="0" fontId="25" fillId="2" borderId="7" xfId="0" applyFont="1" applyFill="1" applyBorder="1"/>
    <xf numFmtId="0" fontId="11" fillId="2" borderId="7" xfId="0" applyFont="1" applyFill="1" applyBorder="1"/>
    <xf numFmtId="164" fontId="26" fillId="2" borderId="15" xfId="0" applyNumberFormat="1" applyFont="1" applyFill="1" applyBorder="1"/>
    <xf numFmtId="0" fontId="26" fillId="2" borderId="16" xfId="0" applyFont="1" applyFill="1" applyBorder="1"/>
    <xf numFmtId="167" fontId="17" fillId="3" borderId="4" xfId="0" applyNumberFormat="1" applyFont="1" applyFill="1" applyBorder="1" applyProtection="1">
      <protection locked="0"/>
    </xf>
    <xf numFmtId="164" fontId="13" fillId="3" borderId="4" xfId="0" applyNumberFormat="1" applyFont="1" applyFill="1" applyBorder="1" applyAlignment="1" applyProtection="1">
      <alignment horizontal="right"/>
      <protection locked="0"/>
    </xf>
    <xf numFmtId="164" fontId="20" fillId="5" borderId="0" xfId="0" applyNumberFormat="1" applyFont="1" applyFill="1" applyBorder="1" applyProtection="1">
      <protection locked="0"/>
    </xf>
    <xf numFmtId="164" fontId="19" fillId="5" borderId="0" xfId="0" applyNumberFormat="1" applyFont="1" applyFill="1" applyBorder="1" applyProtection="1">
      <protection locked="0"/>
    </xf>
    <xf numFmtId="164" fontId="14" fillId="5" borderId="13" xfId="0" applyNumberFormat="1" applyFont="1" applyFill="1" applyBorder="1" applyProtection="1">
      <protection locked="0"/>
    </xf>
    <xf numFmtId="164" fontId="19" fillId="5" borderId="4" xfId="0" applyNumberFormat="1" applyFont="1" applyFill="1" applyBorder="1" applyProtection="1">
      <protection locked="0"/>
    </xf>
    <xf numFmtId="165" fontId="10" fillId="7" borderId="12" xfId="0" applyNumberFormat="1" applyFont="1" applyFill="1" applyBorder="1"/>
    <xf numFmtId="165" fontId="10" fillId="7" borderId="13" xfId="0" applyNumberFormat="1" applyFont="1" applyFill="1" applyBorder="1"/>
    <xf numFmtId="164" fontId="10" fillId="7" borderId="13" xfId="0" applyNumberFormat="1" applyFont="1" applyFill="1" applyBorder="1"/>
    <xf numFmtId="167" fontId="10" fillId="7" borderId="13" xfId="0" applyNumberFormat="1" applyFont="1" applyFill="1" applyBorder="1"/>
    <xf numFmtId="165" fontId="10" fillId="7" borderId="1" xfId="0" applyNumberFormat="1" applyFont="1" applyFill="1" applyBorder="1"/>
    <xf numFmtId="165" fontId="10" fillId="7" borderId="0" xfId="0" applyNumberFormat="1" applyFont="1" applyFill="1" applyBorder="1"/>
    <xf numFmtId="164" fontId="10" fillId="7" borderId="0" xfId="0" applyNumberFormat="1" applyFont="1" applyFill="1" applyBorder="1"/>
    <xf numFmtId="0" fontId="24" fillId="0" borderId="2" xfId="0" applyFont="1" applyFill="1" applyBorder="1"/>
    <xf numFmtId="0" fontId="11" fillId="2" borderId="6" xfId="0" applyFont="1" applyFill="1" applyBorder="1" applyAlignment="1">
      <alignment horizontal="left"/>
    </xf>
    <xf numFmtId="0" fontId="27" fillId="6" borderId="3" xfId="0" applyFont="1" applyFill="1" applyBorder="1" applyAlignment="1">
      <alignment horizontal="left"/>
    </xf>
    <xf numFmtId="165" fontId="20" fillId="6" borderId="4" xfId="0" applyNumberFormat="1" applyFont="1" applyFill="1" applyBorder="1"/>
    <xf numFmtId="165" fontId="19" fillId="0" borderId="4" xfId="0" applyNumberFormat="1" applyFont="1" applyFill="1" applyBorder="1"/>
    <xf numFmtId="165" fontId="10" fillId="2" borderId="4" xfId="0" applyNumberFormat="1" applyFont="1" applyFill="1" applyBorder="1"/>
    <xf numFmtId="164" fontId="10" fillId="2" borderId="4" xfId="0" applyNumberFormat="1" applyFont="1" applyFill="1" applyBorder="1"/>
    <xf numFmtId="164" fontId="19" fillId="0" borderId="4" xfId="0" applyNumberFormat="1" applyFont="1" applyFill="1" applyBorder="1"/>
    <xf numFmtId="0" fontId="1" fillId="2" borderId="4" xfId="0" applyFont="1" applyFill="1" applyBorder="1"/>
    <xf numFmtId="164" fontId="1" fillId="2" borderId="4" xfId="0" applyNumberFormat="1" applyFont="1" applyFill="1" applyBorder="1"/>
    <xf numFmtId="0" fontId="1" fillId="2" borderId="5" xfId="0" applyFont="1" applyFill="1" applyBorder="1"/>
    <xf numFmtId="164" fontId="10" fillId="7" borderId="14" xfId="0" applyNumberFormat="1" applyFont="1" applyFill="1" applyBorder="1"/>
    <xf numFmtId="164" fontId="10" fillId="7" borderId="2" xfId="0" applyNumberFormat="1" applyFont="1" applyFill="1" applyBorder="1"/>
    <xf numFmtId="165" fontId="10" fillId="7" borderId="9" xfId="0" applyNumberFormat="1" applyFont="1" applyFill="1" applyBorder="1"/>
    <xf numFmtId="165" fontId="10" fillId="7" borderId="10" xfId="0" applyNumberFormat="1" applyFont="1" applyFill="1" applyBorder="1"/>
    <xf numFmtId="164" fontId="10" fillId="7" borderId="10" xfId="0" applyNumberFormat="1" applyFont="1" applyFill="1" applyBorder="1"/>
    <xf numFmtId="164" fontId="10" fillId="7" borderId="11" xfId="0" applyNumberFormat="1" applyFont="1" applyFill="1" applyBorder="1"/>
    <xf numFmtId="164" fontId="20" fillId="6" borderId="4" xfId="0" applyNumberFormat="1" applyFont="1" applyFill="1" applyBorder="1" applyProtection="1">
      <protection locked="0"/>
    </xf>
    <xf numFmtId="0" fontId="0" fillId="0" borderId="0" xfId="0" applyProtection="1">
      <protection hidden="1"/>
    </xf>
    <xf numFmtId="4" fontId="0" fillId="0" borderId="0" xfId="0" applyNumberFormat="1" applyProtection="1">
      <protection hidden="1"/>
    </xf>
    <xf numFmtId="0" fontId="0" fillId="0" borderId="0" xfId="0" applyAlignment="1" applyProtection="1">
      <alignment horizontal="right"/>
      <protection hidden="1"/>
    </xf>
    <xf numFmtId="4" fontId="0" fillId="0" borderId="0" xfId="0" applyNumberFormat="1" applyAlignment="1" applyProtection="1">
      <alignment horizontal="right"/>
      <protection hidden="1"/>
    </xf>
    <xf numFmtId="164" fontId="1" fillId="2" borderId="0" xfId="0" applyNumberFormat="1" applyFont="1" applyFill="1" applyProtection="1">
      <protection hidden="1"/>
    </xf>
    <xf numFmtId="0" fontId="1" fillId="2" borderId="0" xfId="0" applyFont="1" applyFill="1" applyProtection="1">
      <protection hidden="1"/>
    </xf>
    <xf numFmtId="4" fontId="1" fillId="2" borderId="0" xfId="0" applyNumberFormat="1" applyFont="1" applyFill="1" applyProtection="1">
      <protection hidden="1"/>
    </xf>
    <xf numFmtId="164" fontId="10" fillId="2" borderId="7" xfId="0" applyNumberFormat="1" applyFont="1" applyFill="1" applyBorder="1" applyProtection="1">
      <protection locked="0"/>
    </xf>
    <xf numFmtId="0" fontId="29" fillId="8" borderId="7" xfId="0" applyFont="1" applyFill="1" applyBorder="1"/>
    <xf numFmtId="0" fontId="28" fillId="8" borderId="7" xfId="0" applyFont="1" applyFill="1" applyBorder="1"/>
    <xf numFmtId="0" fontId="3" fillId="8" borderId="0" xfId="0" applyFont="1" applyFill="1" applyBorder="1"/>
    <xf numFmtId="0" fontId="3" fillId="8" borderId="0" xfId="0" applyFont="1" applyFill="1" applyBorder="1" applyAlignment="1">
      <alignment horizontal="left"/>
    </xf>
    <xf numFmtId="0" fontId="0" fillId="8" borderId="0" xfId="0" applyFill="1"/>
    <xf numFmtId="0" fontId="30" fillId="0" borderId="0" xfId="0" applyFont="1"/>
    <xf numFmtId="164" fontId="3" fillId="3" borderId="18" xfId="0" applyNumberFormat="1" applyFont="1" applyFill="1" applyBorder="1"/>
    <xf numFmtId="164" fontId="3" fillId="3" borderId="19" xfId="0" applyNumberFormat="1" applyFont="1" applyFill="1" applyBorder="1"/>
    <xf numFmtId="164" fontId="3" fillId="3" borderId="20" xfId="0" applyNumberFormat="1" applyFont="1" applyFill="1" applyBorder="1"/>
    <xf numFmtId="0" fontId="10" fillId="2" borderId="7" xfId="0" applyFont="1" applyFill="1" applyBorder="1" applyProtection="1">
      <protection locked="0"/>
    </xf>
    <xf numFmtId="164" fontId="19" fillId="5" borderId="4" xfId="0" applyNumberFormat="1" applyFont="1" applyFill="1" applyBorder="1"/>
    <xf numFmtId="167" fontId="19" fillId="5" borderId="4" xfId="0" applyNumberFormat="1" applyFont="1" applyFill="1" applyBorder="1" applyProtection="1">
      <protection locked="0"/>
    </xf>
    <xf numFmtId="165" fontId="11" fillId="2" borderId="10" xfId="0" applyNumberFormat="1" applyFont="1" applyFill="1" applyBorder="1"/>
    <xf numFmtId="164" fontId="19" fillId="5" borderId="0" xfId="0" applyNumberFormat="1" applyFont="1" applyFill="1" applyBorder="1"/>
    <xf numFmtId="164" fontId="12" fillId="4" borderId="7" xfId="0" applyNumberFormat="1" applyFont="1" applyFill="1" applyBorder="1"/>
    <xf numFmtId="0" fontId="12" fillId="4" borderId="7" xfId="0" applyFont="1" applyFill="1" applyBorder="1"/>
    <xf numFmtId="165" fontId="32" fillId="2" borderId="4" xfId="0" applyNumberFormat="1" applyFont="1" applyFill="1" applyBorder="1"/>
    <xf numFmtId="0" fontId="33" fillId="2" borderId="17" xfId="0" applyFont="1" applyFill="1" applyBorder="1"/>
    <xf numFmtId="0" fontId="34" fillId="0" borderId="0" xfId="0" applyFont="1"/>
    <xf numFmtId="0" fontId="35" fillId="0" borderId="0" xfId="0" applyFont="1" applyFill="1"/>
    <xf numFmtId="0" fontId="31" fillId="2" borderId="4" xfId="0" applyFont="1" applyFill="1" applyBorder="1"/>
    <xf numFmtId="164" fontId="35" fillId="0" borderId="0" xfId="0" applyNumberFormat="1" applyFont="1" applyFill="1"/>
    <xf numFmtId="164" fontId="1" fillId="2" borderId="0" xfId="0" applyNumberFormat="1" applyFont="1" applyFill="1" applyBorder="1"/>
    <xf numFmtId="0" fontId="36" fillId="6" borderId="4" xfId="0" applyFont="1" applyFill="1" applyBorder="1"/>
    <xf numFmtId="0" fontId="11" fillId="2" borderId="1" xfId="0" applyFont="1" applyFill="1" applyBorder="1"/>
    <xf numFmtId="0" fontId="11" fillId="2" borderId="0" xfId="0" applyFont="1" applyFill="1" applyBorder="1"/>
    <xf numFmtId="1" fontId="11" fillId="2" borderId="0" xfId="0" applyNumberFormat="1" applyFont="1" applyFill="1" applyBorder="1"/>
    <xf numFmtId="164" fontId="37" fillId="6" borderId="4" xfId="0" applyNumberFormat="1" applyFont="1" applyFill="1" applyBorder="1"/>
    <xf numFmtId="0" fontId="37" fillId="6" borderId="5" xfId="0" applyFont="1" applyFill="1" applyBorder="1"/>
    <xf numFmtId="0" fontId="37" fillId="6" borderId="3" xfId="0" applyFont="1" applyFill="1" applyBorder="1"/>
    <xf numFmtId="0" fontId="26" fillId="2" borderId="1" xfId="0" applyFont="1" applyFill="1" applyBorder="1"/>
    <xf numFmtId="0" fontId="26" fillId="2" borderId="0" xfId="0" applyFont="1" applyFill="1" applyBorder="1"/>
    <xf numFmtId="1" fontId="26" fillId="2" borderId="0" xfId="0" applyNumberFormat="1" applyFont="1" applyFill="1" applyBorder="1"/>
    <xf numFmtId="0" fontId="26" fillId="2" borderId="2" xfId="0" applyFont="1" applyFill="1" applyBorder="1"/>
    <xf numFmtId="164" fontId="5" fillId="3" borderId="18" xfId="0" applyNumberFormat="1" applyFont="1" applyFill="1" applyBorder="1"/>
    <xf numFmtId="164" fontId="5" fillId="3" borderId="19" xfId="0" applyNumberFormat="1" applyFont="1" applyFill="1" applyBorder="1"/>
    <xf numFmtId="164" fontId="5" fillId="3" borderId="20" xfId="0" applyNumberFormat="1" applyFont="1" applyFill="1" applyBorder="1"/>
    <xf numFmtId="1" fontId="37" fillId="3" borderId="18" xfId="0" applyNumberFormat="1" applyFont="1" applyFill="1" applyBorder="1"/>
    <xf numFmtId="164" fontId="14" fillId="3" borderId="18" xfId="0" applyNumberFormat="1" applyFont="1" applyFill="1" applyBorder="1" applyProtection="1">
      <protection locked="0"/>
    </xf>
    <xf numFmtId="0" fontId="14" fillId="3" borderId="19" xfId="0" applyFont="1" applyFill="1" applyBorder="1" applyProtection="1">
      <protection locked="0"/>
    </xf>
    <xf numFmtId="0" fontId="14" fillId="3" borderId="20" xfId="0" applyFont="1" applyFill="1" applyBorder="1" applyProtection="1">
      <protection locked="0"/>
    </xf>
    <xf numFmtId="0" fontId="14" fillId="3" borderId="21" xfId="0" applyFont="1" applyFill="1" applyBorder="1" applyProtection="1">
      <protection locked="0"/>
    </xf>
    <xf numFmtId="0" fontId="14" fillId="3" borderId="22" xfId="0" applyFont="1" applyFill="1" applyBorder="1"/>
    <xf numFmtId="164" fontId="0" fillId="0" borderId="0" xfId="0" applyNumberFormat="1"/>
    <xf numFmtId="0" fontId="11" fillId="0" borderId="0" xfId="0" applyFont="1" applyFill="1" applyBorder="1"/>
    <xf numFmtId="164" fontId="1" fillId="0" borderId="0" xfId="0" applyNumberFormat="1" applyFont="1" applyFill="1"/>
    <xf numFmtId="0" fontId="38" fillId="9" borderId="3" xfId="0" applyFont="1" applyFill="1" applyBorder="1"/>
    <xf numFmtId="0" fontId="38" fillId="9" borderId="4" xfId="0" applyFont="1" applyFill="1" applyBorder="1"/>
    <xf numFmtId="0" fontId="38" fillId="9" borderId="5" xfId="0" applyFont="1" applyFill="1" applyBorder="1"/>
    <xf numFmtId="0" fontId="38" fillId="8" borderId="1" xfId="0" applyFont="1" applyFill="1" applyBorder="1"/>
    <xf numFmtId="0" fontId="38" fillId="8" borderId="0" xfId="0" applyFont="1" applyFill="1" applyBorder="1"/>
    <xf numFmtId="0" fontId="38" fillId="8" borderId="2" xfId="0" applyFont="1" applyFill="1" applyBorder="1"/>
    <xf numFmtId="0" fontId="38" fillId="9" borderId="1" xfId="0" applyFont="1" applyFill="1" applyBorder="1"/>
    <xf numFmtId="0" fontId="38" fillId="9" borderId="0" xfId="0" applyFont="1" applyFill="1" applyBorder="1"/>
    <xf numFmtId="0" fontId="38" fillId="9" borderId="2" xfId="0" applyFont="1" applyFill="1" applyBorder="1"/>
    <xf numFmtId="0" fontId="38" fillId="10" borderId="9" xfId="0" applyFont="1" applyFill="1" applyBorder="1"/>
    <xf numFmtId="0" fontId="38" fillId="10" borderId="10" xfId="0" applyFont="1" applyFill="1" applyBorder="1"/>
    <xf numFmtId="0" fontId="38" fillId="10" borderId="11" xfId="0" applyFont="1" applyFill="1" applyBorder="1"/>
    <xf numFmtId="0" fontId="11" fillId="2" borderId="3" xfId="0" applyFont="1" applyFill="1" applyBorder="1"/>
    <xf numFmtId="164" fontId="1" fillId="2" borderId="10" xfId="0" applyNumberFormat="1" applyFont="1" applyFill="1" applyBorder="1"/>
    <xf numFmtId="0" fontId="11" fillId="2" borderId="4" xfId="0" applyFont="1" applyFill="1" applyBorder="1"/>
    <xf numFmtId="1" fontId="11" fillId="2" borderId="4" xfId="0" applyNumberFormat="1" applyFont="1" applyFill="1" applyBorder="1"/>
    <xf numFmtId="0" fontId="4" fillId="2" borderId="23" xfId="0" applyFont="1" applyFill="1" applyBorder="1"/>
    <xf numFmtId="0" fontId="4" fillId="2" borderId="24" xfId="0" applyFont="1" applyFill="1" applyBorder="1"/>
    <xf numFmtId="0" fontId="4" fillId="2" borderId="25" xfId="0" applyFont="1" applyFill="1" applyBorder="1"/>
    <xf numFmtId="0" fontId="39" fillId="0" borderId="3" xfId="0" applyFont="1" applyBorder="1"/>
    <xf numFmtId="0" fontId="0" fillId="0" borderId="4" xfId="0" applyBorder="1"/>
    <xf numFmtId="0" fontId="13" fillId="0" borderId="3" xfId="0" applyFont="1" applyBorder="1"/>
    <xf numFmtId="0" fontId="13" fillId="0" borderId="5" xfId="0" applyFont="1" applyBorder="1"/>
    <xf numFmtId="0" fontId="0" fillId="0" borderId="5" xfId="0" applyBorder="1"/>
    <xf numFmtId="0" fontId="40" fillId="0" borderId="1" xfId="0" applyFont="1" applyBorder="1"/>
    <xf numFmtId="0" fontId="0" fillId="0" borderId="2" xfId="0" applyBorder="1"/>
    <xf numFmtId="0" fontId="13" fillId="0" borderId="1" xfId="0" applyFont="1" applyFill="1" applyBorder="1"/>
    <xf numFmtId="0" fontId="0" fillId="0" borderId="2" xfId="0" applyFill="1" applyBorder="1"/>
    <xf numFmtId="0" fontId="9" fillId="0" borderId="0" xfId="0" applyFont="1" applyBorder="1"/>
    <xf numFmtId="164" fontId="10" fillId="0" borderId="1" xfId="0" applyNumberFormat="1" applyFont="1" applyFill="1" applyBorder="1"/>
    <xf numFmtId="0" fontId="0" fillId="0" borderId="1" xfId="0" applyBorder="1"/>
    <xf numFmtId="0" fontId="9" fillId="0" borderId="2" xfId="0" applyFont="1" applyBorder="1"/>
    <xf numFmtId="1" fontId="14" fillId="0" borderId="11" xfId="0" applyNumberFormat="1" applyFont="1" applyFill="1" applyBorder="1"/>
    <xf numFmtId="0" fontId="39" fillId="0" borderId="1" xfId="0" applyFont="1" applyBorder="1"/>
    <xf numFmtId="0" fontId="41" fillId="0" borderId="9" xfId="0" applyFont="1" applyBorder="1"/>
    <xf numFmtId="0" fontId="0" fillId="0" borderId="10" xfId="0" applyBorder="1"/>
    <xf numFmtId="0" fontId="0" fillId="0" borderId="11" xfId="0" applyBorder="1"/>
    <xf numFmtId="0" fontId="43" fillId="0" borderId="27" xfId="0" applyFont="1" applyBorder="1"/>
    <xf numFmtId="0" fontId="9" fillId="0" borderId="13" xfId="0" applyFont="1" applyBorder="1"/>
    <xf numFmtId="0" fontId="9" fillId="0" borderId="28" xfId="0" applyFont="1" applyBorder="1"/>
    <xf numFmtId="0" fontId="12" fillId="0" borderId="29" xfId="0" applyFont="1" applyBorder="1"/>
    <xf numFmtId="0" fontId="12" fillId="0" borderId="0" xfId="0" applyFont="1" applyBorder="1"/>
    <xf numFmtId="0" fontId="12" fillId="0" borderId="0" xfId="0" applyFont="1" applyFill="1" applyBorder="1"/>
    <xf numFmtId="0" fontId="12" fillId="0" borderId="30" xfId="0" applyFont="1" applyBorder="1"/>
    <xf numFmtId="0" fontId="9" fillId="11" borderId="31" xfId="0" applyFont="1" applyFill="1" applyBorder="1"/>
    <xf numFmtId="2" fontId="9" fillId="11" borderId="7" xfId="0" applyNumberFormat="1" applyFont="1" applyFill="1" applyBorder="1"/>
    <xf numFmtId="0" fontId="9" fillId="11" borderId="7" xfId="0" applyFont="1" applyFill="1" applyBorder="1"/>
    <xf numFmtId="0" fontId="9" fillId="11" borderId="32" xfId="0" applyFont="1" applyFill="1" applyBorder="1"/>
    <xf numFmtId="0" fontId="0" fillId="0" borderId="13" xfId="0" applyBorder="1"/>
    <xf numFmtId="2" fontId="44" fillId="3" borderId="1" xfId="0" applyNumberFormat="1" applyFont="1" applyFill="1" applyBorder="1"/>
    <xf numFmtId="0" fontId="18" fillId="0" borderId="2" xfId="0" applyFont="1" applyBorder="1"/>
    <xf numFmtId="0" fontId="30" fillId="0" borderId="0" xfId="0" applyFont="1" applyBorder="1"/>
    <xf numFmtId="2" fontId="45" fillId="3" borderId="1" xfId="0" applyNumberFormat="1" applyFont="1" applyFill="1" applyBorder="1"/>
    <xf numFmtId="0" fontId="18" fillId="0" borderId="11" xfId="0" applyFont="1" applyBorder="1"/>
    <xf numFmtId="1" fontId="45" fillId="3" borderId="9" xfId="0" applyNumberFormat="1" applyFont="1" applyFill="1" applyBorder="1"/>
    <xf numFmtId="0" fontId="44" fillId="3" borderId="1" xfId="0" applyFont="1" applyFill="1" applyBorder="1"/>
    <xf numFmtId="0" fontId="46" fillId="4" borderId="26" xfId="0" applyFont="1" applyFill="1" applyBorder="1" applyProtection="1">
      <protection hidden="1"/>
    </xf>
    <xf numFmtId="1" fontId="31" fillId="2" borderId="1" xfId="0" applyNumberFormat="1" applyFont="1" applyFill="1" applyBorder="1" applyProtection="1">
      <protection hidden="1"/>
    </xf>
    <xf numFmtId="1" fontId="31" fillId="2" borderId="9" xfId="0" applyNumberFormat="1" applyFont="1" applyFill="1" applyBorder="1" applyProtection="1">
      <protection hidden="1"/>
    </xf>
    <xf numFmtId="2" fontId="31" fillId="2" borderId="1" xfId="0" applyNumberFormat="1" applyFont="1" applyFill="1" applyBorder="1" applyProtection="1">
      <protection hidden="1"/>
    </xf>
    <xf numFmtId="0" fontId="47" fillId="0" borderId="4" xfId="0" applyFont="1" applyBorder="1"/>
    <xf numFmtId="0" fontId="11" fillId="2" borderId="0" xfId="0" applyFont="1" applyFill="1"/>
    <xf numFmtId="3" fontId="11" fillId="2" borderId="0" xfId="0" applyNumberFormat="1" applyFont="1" applyFill="1"/>
    <xf numFmtId="167" fontId="11" fillId="2" borderId="0" xfId="0" applyNumberFormat="1" applyFont="1" applyFill="1"/>
  </cellXfs>
  <cellStyles count="2">
    <cellStyle name="Hyperlink" xfId="1" builtinId="8"/>
    <cellStyle name="Standard" xfId="0" builtinId="0"/>
  </cellStyles>
  <dxfs count="3">
    <dxf>
      <font>
        <strike val="0"/>
        <color rgb="FFFFFF00"/>
      </font>
      <fill>
        <patternFill>
          <bgColor rgb="FFFF0000"/>
        </patternFill>
      </fill>
    </dxf>
    <dxf>
      <font>
        <color rgb="FFFFFF00"/>
      </font>
      <fill>
        <patternFill>
          <bgColor rgb="FFFF0000"/>
        </patternFill>
      </fill>
    </dxf>
    <dxf>
      <font>
        <color rgb="FFFFFF00"/>
      </font>
      <fill>
        <patternFill>
          <bgColor rgb="FFFF0000"/>
        </patternFill>
      </fill>
    </dxf>
  </dxfs>
  <tableStyles count="0" defaultTableStyle="TableStyleMedium2" defaultPivotStyle="PivotStyleLight16"/>
  <colors>
    <mruColors>
      <color rgb="FFFFBAAF"/>
      <color rgb="FFF84A4E"/>
      <color rgb="FFFF9933"/>
      <color rgb="FF0137AF"/>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66674</xdr:colOff>
      <xdr:row>43</xdr:row>
      <xdr:rowOff>219075</xdr:rowOff>
    </xdr:from>
    <xdr:to>
      <xdr:col>0</xdr:col>
      <xdr:colOff>1809749</xdr:colOff>
      <xdr:row>79</xdr:row>
      <xdr:rowOff>9525</xdr:rowOff>
    </xdr:to>
    <xdr:sp macro="" textlink="">
      <xdr:nvSpPr>
        <xdr:cNvPr id="2" name="Textfeld 1"/>
        <xdr:cNvSpPr txBox="1"/>
      </xdr:nvSpPr>
      <xdr:spPr>
        <a:xfrm>
          <a:off x="66674" y="7791450"/>
          <a:ext cx="1743075" cy="6772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0" baseline="0">
              <a:solidFill>
                <a:schemeClr val="dk1"/>
              </a:solidFill>
              <a:effectLst/>
              <a:latin typeface="+mn-lt"/>
              <a:ea typeface="+mn-ea"/>
              <a:cs typeface="+mn-cs"/>
            </a:rPr>
            <a:t>In Anlagen mit Umwälzpumpen sollten die </a:t>
          </a:r>
          <a:r>
            <a:rPr lang="de-DE" sz="1100" b="0">
              <a:solidFill>
                <a:schemeClr val="dk1"/>
              </a:solidFill>
              <a:effectLst/>
              <a:latin typeface="+mn-lt"/>
              <a:ea typeface="+mn-ea"/>
              <a:cs typeface="+mn-cs"/>
            </a:rPr>
            <a:t>Richtwerte für Druckgefälle bei Pumpen-Warm-Wasser-Heizungen betragen:</a:t>
          </a:r>
          <a:endParaRPr lang="de-DE">
            <a:effectLst/>
          </a:endParaRPr>
        </a:p>
        <a:p>
          <a:r>
            <a:rPr lang="de-DE" sz="1100" b="0">
              <a:solidFill>
                <a:schemeClr val="dk1"/>
              </a:solidFill>
              <a:effectLst/>
              <a:latin typeface="+mn-lt"/>
              <a:ea typeface="+mn-ea"/>
              <a:cs typeface="+mn-cs"/>
            </a:rPr>
            <a:t>R = 0,5 mbar/m ... R = 3 mbar/m (50 Pa/m ... 300 Pa/m) (aus Bosy)</a:t>
          </a:r>
        </a:p>
        <a:p>
          <a:endParaRPr lang="de-DE">
            <a:effectLst/>
          </a:endParaRPr>
        </a:p>
        <a:p>
          <a:r>
            <a:rPr lang="de-DE" sz="1100" baseline="0">
              <a:solidFill>
                <a:schemeClr val="dk1"/>
              </a:solidFill>
              <a:effectLst/>
              <a:latin typeface="+mn-lt"/>
              <a:ea typeface="+mn-ea"/>
              <a:cs typeface="+mn-cs"/>
            </a:rPr>
            <a:t>In Abwandelung  von obigem Druckgefälle, damit mangelnder Kentnisse der Verhältnisse vor Ort, wird in dieser Rechnung die  Strömungsgeschwindigkeit  um die 0,5m/Sek. (0,3...1,0m/s)  festgelegt.</a:t>
          </a:r>
          <a:endParaRPr lang="de-DE">
            <a:effectLst/>
          </a:endParaRPr>
        </a:p>
        <a:p>
          <a:r>
            <a:rPr lang="de-DE" sz="1100" baseline="0">
              <a:solidFill>
                <a:schemeClr val="dk1"/>
              </a:solidFill>
              <a:effectLst/>
              <a:latin typeface="+mn-lt"/>
              <a:ea typeface="+mn-ea"/>
              <a:cs typeface="+mn-cs"/>
            </a:rPr>
            <a:t>(Genauere  Angaben der Druckverluste erhält man durch Auswertung der tatsächlich verlegten Rohre und Anlagenteile)</a:t>
          </a:r>
        </a:p>
        <a:p>
          <a:endParaRPr lang="de-DE" sz="1100" baseline="0">
            <a:solidFill>
              <a:schemeClr val="dk1"/>
            </a:solidFill>
            <a:effectLst/>
            <a:latin typeface="+mn-lt"/>
            <a:ea typeface="+mn-ea"/>
            <a:cs typeface="+mn-cs"/>
          </a:endParaRPr>
        </a:p>
        <a:p>
          <a:r>
            <a:rPr lang="de-DE" sz="1100" b="1" u="sng">
              <a:solidFill>
                <a:schemeClr val="dk1"/>
              </a:solidFill>
              <a:effectLst/>
              <a:latin typeface="+mn-lt"/>
              <a:ea typeface="+mn-ea"/>
              <a:cs typeface="+mn-cs"/>
            </a:rPr>
            <a:t>Freeware Rohrdimensionierung:</a:t>
          </a:r>
          <a:endParaRPr lang="de-DE">
            <a:effectLst/>
          </a:endParaRPr>
        </a:p>
        <a:p>
          <a:r>
            <a:rPr lang="de-DE" sz="1100">
              <a:solidFill>
                <a:schemeClr val="dk1"/>
              </a:solidFill>
              <a:effectLst/>
              <a:latin typeface="+mn-lt"/>
              <a:ea typeface="+mn-ea"/>
              <a:cs typeface="+mn-cs"/>
            </a:rPr>
            <a:t>http://www.heizlast.de/rohrdim</a:t>
          </a:r>
          <a:endParaRPr lang="de-DE">
            <a:effectLst/>
          </a:endParaRPr>
        </a:p>
        <a:p>
          <a:endParaRPr lang="de-DE">
            <a:effectLst/>
          </a:endParaRPr>
        </a:p>
        <a:p>
          <a:endParaRPr lang="de-DE" sz="1100"/>
        </a:p>
      </xdr:txBody>
    </xdr:sp>
    <xdr:clientData/>
  </xdr:twoCellAnchor>
  <xdr:twoCellAnchor>
    <xdr:from>
      <xdr:col>0</xdr:col>
      <xdr:colOff>35944</xdr:colOff>
      <xdr:row>4</xdr:row>
      <xdr:rowOff>125801</xdr:rowOff>
    </xdr:from>
    <xdr:to>
      <xdr:col>0</xdr:col>
      <xdr:colOff>1824128</xdr:colOff>
      <xdr:row>42</xdr:row>
      <xdr:rowOff>116815</xdr:rowOff>
    </xdr:to>
    <xdr:sp macro="" textlink="">
      <xdr:nvSpPr>
        <xdr:cNvPr id="3" name="Textfeld 2"/>
        <xdr:cNvSpPr txBox="1"/>
      </xdr:nvSpPr>
      <xdr:spPr>
        <a:xfrm>
          <a:off x="35944" y="880612"/>
          <a:ext cx="1788184" cy="66135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ACHTUNG!</a:t>
          </a:r>
          <a:endParaRPr lang="de-DE">
            <a:effectLst/>
          </a:endParaRPr>
        </a:p>
        <a:p>
          <a:r>
            <a:rPr lang="de-DE" sz="1100" baseline="0">
              <a:solidFill>
                <a:schemeClr val="dk1"/>
              </a:solidFill>
              <a:effectLst/>
              <a:latin typeface="+mn-lt"/>
              <a:ea typeface="+mn-ea"/>
              <a:cs typeface="+mn-cs"/>
            </a:rPr>
            <a:t>Andere  HV-Typen haben andere  Füllräume und damit andere Brennzeiten bei gleicher Leistung!</a:t>
          </a:r>
        </a:p>
        <a:p>
          <a:endParaRPr lang="de-DE">
            <a:effectLst/>
          </a:endParaRPr>
        </a:p>
        <a:p>
          <a:r>
            <a:rPr lang="de-DE" sz="1100" baseline="0">
              <a:solidFill>
                <a:schemeClr val="dk1"/>
              </a:solidFill>
              <a:effectLst/>
              <a:latin typeface="+mn-lt"/>
              <a:ea typeface="+mn-ea"/>
              <a:cs typeface="+mn-cs"/>
            </a:rPr>
            <a:t>kg/LFr=kg/Liter Füllraum</a:t>
          </a:r>
        </a:p>
        <a:p>
          <a:endParaRPr lang="de-DE" sz="1100" baseline="0">
            <a:solidFill>
              <a:schemeClr val="dk1"/>
            </a:solidFill>
            <a:effectLst/>
            <a:latin typeface="+mn-lt"/>
            <a:ea typeface="+mn-ea"/>
            <a:cs typeface="+mn-cs"/>
          </a:endParaRPr>
        </a:p>
        <a:p>
          <a:r>
            <a:rPr lang="de-DE" sz="1100" baseline="0">
              <a:solidFill>
                <a:schemeClr val="dk1"/>
              </a:solidFill>
              <a:effectLst/>
              <a:latin typeface="+mn-lt"/>
              <a:ea typeface="+mn-ea"/>
              <a:cs typeface="+mn-cs"/>
            </a:rPr>
            <a:t>Brennstoff Schüttgewicht schwankt von </a:t>
          </a:r>
        </a:p>
        <a:p>
          <a:r>
            <a:rPr lang="de-DE" sz="1100" baseline="0">
              <a:solidFill>
                <a:schemeClr val="dk1"/>
              </a:solidFill>
              <a:effectLst/>
              <a:latin typeface="+mn-lt"/>
              <a:ea typeface="+mn-ea"/>
              <a:cs typeface="+mn-cs"/>
            </a:rPr>
            <a:t>0,12...0,35 kg/Ltr.Fr</a:t>
          </a:r>
        </a:p>
        <a:p>
          <a:r>
            <a:rPr lang="de-DE" sz="1100" baseline="0">
              <a:solidFill>
                <a:schemeClr val="dk1"/>
              </a:solidFill>
              <a:effectLst/>
              <a:latin typeface="+mn-lt"/>
              <a:ea typeface="+mn-ea"/>
              <a:cs typeface="+mn-cs"/>
            </a:rPr>
            <a:t>(Bretter...Eiche)</a:t>
          </a:r>
        </a:p>
        <a:p>
          <a:endParaRPr lang="de-DE" sz="1100" baseline="0">
            <a:solidFill>
              <a:schemeClr val="dk1"/>
            </a:solidFill>
            <a:effectLst/>
            <a:latin typeface="+mn-lt"/>
            <a:ea typeface="+mn-ea"/>
            <a:cs typeface="+mn-cs"/>
          </a:endParaRPr>
        </a:p>
        <a:p>
          <a:r>
            <a:rPr lang="de-DE" sz="1100" baseline="0">
              <a:solidFill>
                <a:schemeClr val="dk1"/>
              </a:solidFill>
              <a:effectLst/>
              <a:latin typeface="+mn-lt"/>
              <a:ea typeface="+mn-ea"/>
              <a:cs typeface="+mn-cs"/>
            </a:rPr>
            <a:t>Der Heizwert des Brennstoffes ist abhängig von der Feuchte  und muss immer auf das Gewicht (kg) bezogen werden.</a:t>
          </a:r>
        </a:p>
        <a:p>
          <a:endParaRPr lang="de-DE" sz="1100" baseline="0">
            <a:solidFill>
              <a:schemeClr val="dk1"/>
            </a:solidFill>
            <a:effectLst/>
            <a:latin typeface="+mn-lt"/>
            <a:ea typeface="+mn-ea"/>
            <a:cs typeface="+mn-cs"/>
          </a:endParaRPr>
        </a:p>
        <a:p>
          <a:r>
            <a:rPr lang="de-DE" sz="1100" b="0" i="0" u="none" strike="noStrike">
              <a:solidFill>
                <a:schemeClr val="dk1"/>
              </a:solidFill>
              <a:effectLst/>
              <a:latin typeface="+mn-lt"/>
              <a:ea typeface="+mn-ea"/>
              <a:cs typeface="+mn-cs"/>
            </a:rPr>
            <a:t>Zuluftöffnung bis 50kW : =&gt;150 cm2</a:t>
          </a:r>
          <a:r>
            <a:rPr lang="de-DE"/>
            <a:t>  </a:t>
          </a:r>
        </a:p>
        <a:p>
          <a:r>
            <a:rPr lang="de-DE" sz="1100" b="0" i="0" u="none" strike="noStrike">
              <a:solidFill>
                <a:schemeClr val="dk1"/>
              </a:solidFill>
              <a:effectLst/>
              <a:latin typeface="+mn-lt"/>
              <a:ea typeface="+mn-ea"/>
              <a:cs typeface="+mn-cs"/>
            </a:rPr>
            <a:t>entspricht einem Rohr-Innendurchmesser von =&gt; 138mm</a:t>
          </a:r>
          <a:r>
            <a:rPr lang="de-DE"/>
            <a:t> </a:t>
          </a:r>
        </a:p>
        <a:p>
          <a:endParaRPr lang="de-DE">
            <a:effectLst/>
          </a:endParaRPr>
        </a:p>
        <a:p>
          <a:r>
            <a:rPr lang="de-DE" sz="1100"/>
            <a:t>Die Ladetemperatur zum Speicher ist abhängig vom Type des HV</a:t>
          </a:r>
          <a:r>
            <a:rPr lang="de-DE" sz="1100" baseline="0"/>
            <a:t> und wird durch Abschaltpunkte von Sicherheitseinrichtungen bestimmt.</a:t>
          </a:r>
        </a:p>
        <a:p>
          <a:endParaRPr lang="de-DE" sz="1100" baseline="0"/>
        </a:p>
        <a:p>
          <a:r>
            <a:rPr lang="de-DE" sz="1100" baseline="0"/>
            <a:t>Bei der Auswahl der HV-Leistung berücksichtigen:</a:t>
          </a:r>
        </a:p>
        <a:p>
          <a:r>
            <a:rPr lang="de-DE" sz="1100" baseline="0"/>
            <a:t>Die angenommene Außentemperatur ist nur an wenigen Tagen im Jahr.</a:t>
          </a:r>
        </a:p>
        <a:p>
          <a:endParaRPr lang="de-DE" sz="1100" baseline="0"/>
        </a:p>
        <a:p>
          <a:endParaRPr lang="de-DE" sz="1100" baseline="0"/>
        </a:p>
      </xdr:txBody>
    </xdr:sp>
    <xdr:clientData/>
  </xdr:twoCellAnchor>
  <xdr:twoCellAnchor>
    <xdr:from>
      <xdr:col>1</xdr:col>
      <xdr:colOff>28575</xdr:colOff>
      <xdr:row>9</xdr:row>
      <xdr:rowOff>76201</xdr:rowOff>
    </xdr:from>
    <xdr:to>
      <xdr:col>14</xdr:col>
      <xdr:colOff>899432</xdr:colOff>
      <xdr:row>10</xdr:row>
      <xdr:rowOff>114301</xdr:rowOff>
    </xdr:to>
    <xdr:sp macro="" textlink="">
      <xdr:nvSpPr>
        <xdr:cNvPr id="6" name="Textfeld 5"/>
        <xdr:cNvSpPr txBox="1"/>
      </xdr:nvSpPr>
      <xdr:spPr>
        <a:xfrm>
          <a:off x="1895475" y="1781176"/>
          <a:ext cx="8548007" cy="228600"/>
        </a:xfrm>
        <a:prstGeom prst="rect">
          <a:avLst/>
        </a:prstGeom>
        <a:solidFill>
          <a:srgbClr val="FB957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100" b="1"/>
            <a:t>Alle Angaben ohne Gewähr, Die gesamte Ausrechnung muss durch den örtlichen Installateur bestätigt werden.</a:t>
          </a:r>
        </a:p>
      </xdr:txBody>
    </xdr:sp>
    <xdr:clientData/>
  </xdr:twoCellAnchor>
  <xdr:twoCellAnchor>
    <xdr:from>
      <xdr:col>16</xdr:col>
      <xdr:colOff>26958</xdr:colOff>
      <xdr:row>25</xdr:row>
      <xdr:rowOff>98845</xdr:rowOff>
    </xdr:from>
    <xdr:to>
      <xdr:col>18</xdr:col>
      <xdr:colOff>24724</xdr:colOff>
      <xdr:row>41</xdr:row>
      <xdr:rowOff>15693</xdr:rowOff>
    </xdr:to>
    <xdr:sp macro="" textlink="">
      <xdr:nvSpPr>
        <xdr:cNvPr id="7" name="Textfeld 6"/>
        <xdr:cNvSpPr txBox="1"/>
      </xdr:nvSpPr>
      <xdr:spPr>
        <a:xfrm>
          <a:off x="11564788" y="4555826"/>
          <a:ext cx="1525361" cy="26755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Die notwendige HV- Größe und Speichergröße ist abhängig von:</a:t>
          </a:r>
        </a:p>
        <a:p>
          <a:r>
            <a:rPr lang="de-DE" sz="1100"/>
            <a:t>1) Heizlast des Hauses</a:t>
          </a:r>
        </a:p>
        <a:p>
          <a:r>
            <a:rPr lang="de-DE" sz="1100"/>
            <a:t>2) Leistung HV</a:t>
          </a:r>
        </a:p>
        <a:p>
          <a:r>
            <a:rPr lang="de-DE" sz="1100"/>
            <a:t>3)</a:t>
          </a:r>
          <a:r>
            <a:rPr lang="de-DE" sz="1100" baseline="0"/>
            <a:t> Größe Füllraum HV</a:t>
          </a:r>
        </a:p>
        <a:p>
          <a:r>
            <a:rPr lang="de-DE" sz="1100" baseline="0"/>
            <a:t>4) Rücklauftemperatur der Heizung</a:t>
          </a:r>
        </a:p>
        <a:p>
          <a:r>
            <a:rPr lang="de-DE" sz="1100" baseline="0"/>
            <a:t>5) Anzahl der gewünschten Auflegeintervalle</a:t>
          </a:r>
        </a:p>
        <a:p>
          <a:endParaRPr lang="de-DE" sz="1100"/>
        </a:p>
      </xdr:txBody>
    </xdr:sp>
    <xdr:clientData/>
  </xdr:twoCellAnchor>
  <xdr:twoCellAnchor>
    <xdr:from>
      <xdr:col>0</xdr:col>
      <xdr:colOff>47625</xdr:colOff>
      <xdr:row>82</xdr:row>
      <xdr:rowOff>66675</xdr:rowOff>
    </xdr:from>
    <xdr:to>
      <xdr:col>0</xdr:col>
      <xdr:colOff>1781175</xdr:colOff>
      <xdr:row>92</xdr:row>
      <xdr:rowOff>47625</xdr:rowOff>
    </xdr:to>
    <xdr:sp macro="" textlink="">
      <xdr:nvSpPr>
        <xdr:cNvPr id="4" name="Textfeld 3"/>
        <xdr:cNvSpPr txBox="1"/>
      </xdr:nvSpPr>
      <xdr:spPr>
        <a:xfrm>
          <a:off x="47625" y="15068550"/>
          <a:ext cx="1733550" cy="201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76200</xdr:colOff>
      <xdr:row>92</xdr:row>
      <xdr:rowOff>161925</xdr:rowOff>
    </xdr:from>
    <xdr:to>
      <xdr:col>0</xdr:col>
      <xdr:colOff>1771650</xdr:colOff>
      <xdr:row>103</xdr:row>
      <xdr:rowOff>38100</xdr:rowOff>
    </xdr:to>
    <xdr:sp macro="" textlink="">
      <xdr:nvSpPr>
        <xdr:cNvPr id="5" name="Textfeld 4"/>
        <xdr:cNvSpPr txBox="1"/>
      </xdr:nvSpPr>
      <xdr:spPr>
        <a:xfrm>
          <a:off x="76200" y="17040225"/>
          <a:ext cx="1695450" cy="213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5</xdr:col>
      <xdr:colOff>381000</xdr:colOff>
      <xdr:row>112</xdr:row>
      <xdr:rowOff>0</xdr:rowOff>
    </xdr:from>
    <xdr:ext cx="194454" cy="255111"/>
    <xdr:sp macro="" textlink="">
      <xdr:nvSpPr>
        <xdr:cNvPr id="9" name="Textfeld 8"/>
        <xdr:cNvSpPr txBox="1"/>
      </xdr:nvSpPr>
      <xdr:spPr>
        <a:xfrm>
          <a:off x="4495800" y="17087850"/>
          <a:ext cx="194454" cy="255111"/>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de-DE" sz="1100"/>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bo-plan.de/tools/umrechnen-der-heizkoerperleistung-online" TargetMode="External"/><Relationship Id="rId13" Type="http://schemas.openxmlformats.org/officeDocument/2006/relationships/drawing" Target="../drawings/drawing1.xml"/><Relationship Id="rId3" Type="http://schemas.openxmlformats.org/officeDocument/2006/relationships/hyperlink" Target="http://www.holzvergaser-forum.de/index.php/forum/pufferspeicher/50425-ausdehnungsautomat-fuer-grosse-pufferspeicher" TargetMode="External"/><Relationship Id="rId7" Type="http://schemas.openxmlformats.org/officeDocument/2006/relationships/hyperlink" Target="http://www.holzvergaser-forum.de/index.php/forum/vigas-allgemein/50072-holzvergaser-kommt-nicht-auf-temperatur" TargetMode="External"/><Relationship Id="rId12" Type="http://schemas.openxmlformats.org/officeDocument/2006/relationships/printerSettings" Target="../printerSettings/printerSettings1.bin"/><Relationship Id="rId2" Type="http://schemas.openxmlformats.org/officeDocument/2006/relationships/hyperlink" Target="http://www.minergie.ch/tl_files/download/pumpen.pdf" TargetMode="External"/><Relationship Id="rId1" Type="http://schemas.openxmlformats.org/officeDocument/2006/relationships/hyperlink" Target="http://www.minergie.ch/leistungsgarantien.html" TargetMode="External"/><Relationship Id="rId6" Type="http://schemas.openxmlformats.org/officeDocument/2006/relationships/hyperlink" Target="http://www.holzvergaser-forum.de/index.php/forum/mein-heizungsprojekt/49822-alter-hv-tuts-nicht-mehr-so-richtig" TargetMode="External"/><Relationship Id="rId11" Type="http://schemas.openxmlformats.org/officeDocument/2006/relationships/hyperlink" Target="http://www.holzvergaser-forum.de/index.php/forum/schornstein/50533-stammtisch-diskusion-esse-feucht-holz-egal" TargetMode="External"/><Relationship Id="rId5" Type="http://schemas.openxmlformats.org/officeDocument/2006/relationships/hyperlink" Target="http://www.holzvergaser-forum.de/index.php/forum/regelung-und-verbrennung/43176-umbau-orligno200-80kw" TargetMode="External"/><Relationship Id="rId15" Type="http://schemas.openxmlformats.org/officeDocument/2006/relationships/comments" Target="../comments1.xml"/><Relationship Id="rId10" Type="http://schemas.openxmlformats.org/officeDocument/2006/relationships/hyperlink" Target="http://www.heizlast.de/rohrdim" TargetMode="External"/><Relationship Id="rId4" Type="http://schemas.openxmlformats.org/officeDocument/2006/relationships/hyperlink" Target="http://www.holzvergaser-forum.de/index.php/heizungstechnik-und-hintergrund/einsteigerhilfe" TargetMode="External"/><Relationship Id="rId9" Type="http://schemas.openxmlformats.org/officeDocument/2006/relationships/hyperlink" Target="http://www.u-wert.net/berechnung/waermebedarf/" TargetMode="External"/><Relationship Id="rId1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258"/>
  <sheetViews>
    <sheetView tabSelected="1" zoomScaleNormal="100" workbookViewId="0">
      <selection activeCell="D80" sqref="D80"/>
    </sheetView>
  </sheetViews>
  <sheetFormatPr baseColWidth="10" defaultRowHeight="12.75" x14ac:dyDescent="0.2"/>
  <cols>
    <col min="1" max="1" width="28" customWidth="1"/>
    <col min="2" max="2" width="40.85546875" customWidth="1"/>
    <col min="3" max="3" width="8" customWidth="1"/>
    <col min="4" max="4" width="9.42578125" customWidth="1"/>
    <col min="5" max="5" width="6.7109375" customWidth="1"/>
    <col min="6" max="6" width="9.7109375" customWidth="1"/>
    <col min="7" max="7" width="4.85546875" customWidth="1"/>
    <col min="8" max="8" width="5" customWidth="1"/>
    <col min="9" max="9" width="3.140625" customWidth="1"/>
    <col min="10" max="10" width="4.42578125" customWidth="1"/>
    <col min="11" max="11" width="5" customWidth="1"/>
    <col min="12" max="12" width="2.42578125" customWidth="1"/>
    <col min="13" max="13" width="8" customWidth="1"/>
    <col min="14" max="14" width="9" customWidth="1"/>
    <col min="15" max="15" width="17.140625" customWidth="1"/>
  </cols>
  <sheetData>
    <row r="2" spans="1:19" ht="21" x14ac:dyDescent="0.35">
      <c r="A2" s="4" t="s">
        <v>12</v>
      </c>
      <c r="E2" s="162" t="s">
        <v>106</v>
      </c>
    </row>
    <row r="3" spans="1:19" x14ac:dyDescent="0.2">
      <c r="C3" s="1" t="s">
        <v>13</v>
      </c>
      <c r="D3" s="2"/>
      <c r="E3" s="2"/>
      <c r="F3" s="1"/>
      <c r="G3" s="2"/>
      <c r="H3" s="5" t="s">
        <v>14</v>
      </c>
      <c r="I3" s="5"/>
      <c r="J3" s="5"/>
      <c r="K3" s="5"/>
      <c r="L3" s="5"/>
      <c r="M3" s="5"/>
      <c r="N3" s="5"/>
      <c r="O3" s="57" t="s">
        <v>62</v>
      </c>
    </row>
    <row r="4" spans="1:19" x14ac:dyDescent="0.2">
      <c r="A4" t="s">
        <v>105</v>
      </c>
    </row>
    <row r="5" spans="1:19" ht="15" x14ac:dyDescent="0.25">
      <c r="B5" t="s">
        <v>57</v>
      </c>
      <c r="C5" s="105" t="s">
        <v>58</v>
      </c>
    </row>
    <row r="6" spans="1:19" ht="15" x14ac:dyDescent="0.2">
      <c r="B6" t="s">
        <v>63</v>
      </c>
      <c r="C6" s="106" t="s">
        <v>59</v>
      </c>
    </row>
    <row r="7" spans="1:19" ht="15" x14ac:dyDescent="0.25">
      <c r="B7" s="15" t="s">
        <v>20</v>
      </c>
      <c r="C7" s="17" t="s">
        <v>21</v>
      </c>
      <c r="D7" s="16"/>
    </row>
    <row r="8" spans="1:19" ht="15" x14ac:dyDescent="0.25">
      <c r="B8" s="15" t="s">
        <v>22</v>
      </c>
      <c r="C8" s="17" t="s">
        <v>23</v>
      </c>
      <c r="D8" s="16"/>
      <c r="F8" s="17"/>
    </row>
    <row r="9" spans="1:19" ht="15" x14ac:dyDescent="0.25">
      <c r="B9" s="44" t="s">
        <v>61</v>
      </c>
      <c r="C9" s="17" t="s">
        <v>60</v>
      </c>
      <c r="D9" s="16"/>
      <c r="F9" s="17"/>
    </row>
    <row r="10" spans="1:19" ht="15" x14ac:dyDescent="0.25">
      <c r="B10" s="15"/>
      <c r="C10" s="17"/>
      <c r="D10" s="16"/>
      <c r="F10" s="17"/>
    </row>
    <row r="12" spans="1:19" ht="15.75" x14ac:dyDescent="0.25">
      <c r="B12" s="9" t="s">
        <v>141</v>
      </c>
      <c r="C12" s="9"/>
      <c r="D12" s="9"/>
      <c r="E12" s="9"/>
      <c r="F12" s="9"/>
      <c r="G12" s="163" t="s">
        <v>90</v>
      </c>
      <c r="H12" s="164">
        <v>21</v>
      </c>
      <c r="I12" s="165" t="s">
        <v>2</v>
      </c>
      <c r="J12" s="163" t="s">
        <v>91</v>
      </c>
      <c r="K12" s="164">
        <v>-15</v>
      </c>
      <c r="L12" s="165" t="s">
        <v>2</v>
      </c>
      <c r="M12" s="5"/>
      <c r="N12" s="10">
        <v>8.4499999999999993</v>
      </c>
      <c r="O12" s="9" t="s">
        <v>3</v>
      </c>
    </row>
    <row r="13" spans="1:19" x14ac:dyDescent="0.2">
      <c r="B13" s="178" t="s">
        <v>130</v>
      </c>
      <c r="N13" s="11"/>
    </row>
    <row r="14" spans="1:19" ht="15.75" x14ac:dyDescent="0.25">
      <c r="B14" s="9" t="s">
        <v>114</v>
      </c>
      <c r="C14" s="9"/>
      <c r="D14" s="9"/>
      <c r="E14" s="9"/>
      <c r="F14" s="9"/>
      <c r="G14" s="9"/>
      <c r="H14" s="9"/>
      <c r="I14" s="9"/>
      <c r="J14" s="9"/>
      <c r="K14" s="9"/>
      <c r="L14" s="9"/>
      <c r="M14" s="9"/>
      <c r="N14" s="10">
        <v>25</v>
      </c>
      <c r="O14" s="9" t="s">
        <v>3</v>
      </c>
      <c r="Q14" s="15"/>
      <c r="R14" s="107"/>
      <c r="S14" s="15"/>
    </row>
    <row r="15" spans="1:19" ht="15.75" x14ac:dyDescent="0.25">
      <c r="B15" s="9" t="s">
        <v>107</v>
      </c>
      <c r="C15" s="9" t="s">
        <v>139</v>
      </c>
      <c r="D15" s="191" t="s">
        <v>177</v>
      </c>
      <c r="E15" s="192"/>
      <c r="F15" s="193"/>
      <c r="G15" s="9"/>
      <c r="H15" s="9" t="s">
        <v>144</v>
      </c>
      <c r="I15" s="9"/>
      <c r="J15" s="9"/>
      <c r="K15" s="194">
        <v>85</v>
      </c>
      <c r="L15" s="193" t="s">
        <v>143</v>
      </c>
      <c r="M15" s="9"/>
      <c r="N15" s="10">
        <v>120</v>
      </c>
      <c r="O15" s="9" t="s">
        <v>6</v>
      </c>
      <c r="Q15" s="108" t="s">
        <v>64</v>
      </c>
      <c r="R15" s="108" t="s">
        <v>65</v>
      </c>
      <c r="S15" s="108" t="s">
        <v>66</v>
      </c>
    </row>
    <row r="16" spans="1:19" x14ac:dyDescent="0.2">
      <c r="B16" s="5" t="s">
        <v>7</v>
      </c>
      <c r="C16" s="5" t="s">
        <v>15</v>
      </c>
      <c r="D16" s="5"/>
      <c r="E16" s="5"/>
      <c r="F16" s="5"/>
      <c r="G16" s="5"/>
      <c r="H16" s="5"/>
      <c r="I16" s="5"/>
      <c r="J16" s="5"/>
      <c r="K16" s="5"/>
      <c r="L16" s="5"/>
      <c r="M16" s="5"/>
      <c r="N16" s="13">
        <v>0.25</v>
      </c>
      <c r="O16" s="5" t="s">
        <v>4</v>
      </c>
      <c r="Q16" s="108" t="s">
        <v>67</v>
      </c>
      <c r="S16" s="108" t="s">
        <v>68</v>
      </c>
    </row>
    <row r="17" spans="2:18" x14ac:dyDescent="0.2">
      <c r="B17" s="5" t="s">
        <v>54</v>
      </c>
      <c r="C17" s="5"/>
      <c r="D17" s="5"/>
      <c r="E17" s="5"/>
      <c r="F17" s="5"/>
      <c r="G17" s="5"/>
      <c r="H17" s="5"/>
      <c r="I17" s="5"/>
      <c r="J17" s="5"/>
      <c r="K17" s="5"/>
      <c r="L17" s="5"/>
      <c r="M17" s="5"/>
      <c r="N17" s="13">
        <v>4.1559999999999997</v>
      </c>
      <c r="O17" s="5" t="s">
        <v>5</v>
      </c>
      <c r="Q17" s="108" t="s">
        <v>69</v>
      </c>
      <c r="R17" s="108" t="s">
        <v>70</v>
      </c>
    </row>
    <row r="18" spans="2:18" x14ac:dyDescent="0.2">
      <c r="B18" s="5" t="s">
        <v>17</v>
      </c>
      <c r="C18" s="5"/>
      <c r="D18" s="5"/>
      <c r="E18" s="5"/>
      <c r="F18" s="5"/>
      <c r="G18" s="5"/>
      <c r="H18" s="5"/>
      <c r="I18" s="5"/>
      <c r="J18" s="5"/>
      <c r="K18" s="5"/>
      <c r="L18" s="5"/>
      <c r="M18" s="5"/>
      <c r="N18" s="14">
        <v>0.85</v>
      </c>
      <c r="O18" s="5"/>
      <c r="Q18" s="108" t="s">
        <v>71</v>
      </c>
      <c r="R18" s="108" t="s">
        <v>72</v>
      </c>
    </row>
    <row r="19" spans="2:18" x14ac:dyDescent="0.2">
      <c r="B19" s="178" t="s">
        <v>129</v>
      </c>
      <c r="Q19" s="108" t="s">
        <v>73</v>
      </c>
      <c r="R19" s="108" t="s">
        <v>74</v>
      </c>
    </row>
    <row r="20" spans="2:18" x14ac:dyDescent="0.2">
      <c r="B20" s="5" t="s">
        <v>18</v>
      </c>
      <c r="C20" s="5"/>
      <c r="D20" s="5"/>
      <c r="E20" s="5"/>
      <c r="F20" s="5"/>
      <c r="G20" s="5"/>
      <c r="H20" s="5"/>
      <c r="I20" s="5"/>
      <c r="J20" s="5"/>
      <c r="K20" s="5"/>
      <c r="L20" s="5"/>
      <c r="M20" s="5"/>
      <c r="N20" s="12">
        <v>80</v>
      </c>
      <c r="O20" s="5" t="s">
        <v>2</v>
      </c>
      <c r="Q20" s="108" t="s">
        <v>75</v>
      </c>
    </row>
    <row r="21" spans="2:18" x14ac:dyDescent="0.2">
      <c r="B21" s="5" t="s">
        <v>19</v>
      </c>
      <c r="C21" s="5"/>
      <c r="D21" s="5"/>
      <c r="E21" s="5"/>
      <c r="F21" s="5"/>
      <c r="G21" s="5"/>
      <c r="H21" s="5"/>
      <c r="I21" s="5"/>
      <c r="J21" s="5"/>
      <c r="K21" s="5"/>
      <c r="L21" s="5"/>
      <c r="M21" s="5"/>
      <c r="N21" s="12">
        <v>44</v>
      </c>
      <c r="O21" s="5" t="s">
        <v>2</v>
      </c>
      <c r="Q21" s="108" t="s">
        <v>76</v>
      </c>
      <c r="R21" s="108" t="s">
        <v>77</v>
      </c>
    </row>
    <row r="22" spans="2:18" x14ac:dyDescent="0.2">
      <c r="B22" s="178" t="s">
        <v>93</v>
      </c>
      <c r="Q22" s="108" t="s">
        <v>78</v>
      </c>
      <c r="R22" s="108" t="s">
        <v>79</v>
      </c>
    </row>
    <row r="23" spans="2:18" ht="15.75" x14ac:dyDescent="0.25">
      <c r="B23" s="6" t="s">
        <v>135</v>
      </c>
      <c r="C23" s="6"/>
      <c r="D23" s="6"/>
      <c r="E23" s="6"/>
      <c r="F23" s="6"/>
      <c r="G23" s="6"/>
      <c r="H23" s="6"/>
      <c r="I23" s="6"/>
      <c r="J23" s="6"/>
      <c r="K23" s="6"/>
      <c r="L23" s="6"/>
      <c r="M23" s="6"/>
      <c r="N23" s="7">
        <f>N12*24</f>
        <v>202.79999999999998</v>
      </c>
      <c r="O23" s="6" t="s">
        <v>0</v>
      </c>
      <c r="Q23" s="108" t="s">
        <v>80</v>
      </c>
    </row>
    <row r="24" spans="2:18" x14ac:dyDescent="0.2">
      <c r="B24" s="1" t="s">
        <v>116</v>
      </c>
      <c r="C24" s="1"/>
      <c r="D24" s="1"/>
      <c r="E24" s="1"/>
      <c r="F24" s="1"/>
      <c r="G24" s="1"/>
      <c r="H24" s="1"/>
      <c r="I24" s="1"/>
      <c r="J24" s="1"/>
      <c r="K24" s="1"/>
      <c r="L24" s="1"/>
      <c r="M24" s="1"/>
      <c r="N24" s="2">
        <f>N15*N16*N17*(K15/100)</f>
        <v>105.97799999999999</v>
      </c>
      <c r="O24" s="1" t="s">
        <v>0</v>
      </c>
    </row>
    <row r="25" spans="2:18" x14ac:dyDescent="0.2">
      <c r="B25" s="178" t="s">
        <v>9</v>
      </c>
    </row>
    <row r="26" spans="2:18" x14ac:dyDescent="0.2">
      <c r="B26" s="1" t="str">
        <f>"Wärmeenergie des Brennstoffes zum Speicher bei 1 Füllung ("&amp;ROUND(N24,1)&amp;" kWh x "&amp;N18&amp;") ."</f>
        <v>Wärmeenergie des Brennstoffes zum Speicher bei 1 Füllung (106 kWh x 0,85) .</v>
      </c>
      <c r="C26" s="1"/>
      <c r="D26" s="1"/>
      <c r="E26" s="1"/>
      <c r="F26" s="1"/>
      <c r="G26" s="1"/>
      <c r="H26" s="1"/>
      <c r="I26" s="1"/>
      <c r="J26" s="1"/>
      <c r="K26" s="1"/>
      <c r="L26" s="1"/>
      <c r="M26" s="1"/>
      <c r="N26" s="2">
        <f>N24*N18</f>
        <v>90.081299999999999</v>
      </c>
      <c r="O26" s="1" t="s">
        <v>0</v>
      </c>
    </row>
    <row r="27" spans="2:18" ht="15.75" x14ac:dyDescent="0.25">
      <c r="B27" s="6" t="s">
        <v>16</v>
      </c>
      <c r="C27" s="6"/>
      <c r="D27" s="6"/>
      <c r="E27" s="6"/>
      <c r="F27" s="6"/>
      <c r="G27" s="6"/>
      <c r="H27" s="6"/>
      <c r="I27" s="6"/>
      <c r="J27" s="6"/>
      <c r="K27" s="6"/>
      <c r="L27" s="6"/>
      <c r="M27" s="6"/>
      <c r="N27" s="7">
        <f>N23/N26</f>
        <v>2.2512996593077585</v>
      </c>
      <c r="O27" s="6" t="s">
        <v>10</v>
      </c>
    </row>
    <row r="28" spans="2:18" x14ac:dyDescent="0.2">
      <c r="B28" s="1" t="s">
        <v>8</v>
      </c>
      <c r="C28" s="1"/>
      <c r="D28" s="1"/>
      <c r="E28" s="1"/>
      <c r="F28" s="1"/>
      <c r="G28" s="1"/>
      <c r="H28" s="1"/>
      <c r="I28" s="1"/>
      <c r="J28" s="1"/>
      <c r="K28" s="1"/>
      <c r="L28" s="1"/>
      <c r="M28" s="1"/>
      <c r="N28" s="2">
        <f>N26/N14</f>
        <v>3.6032519999999999</v>
      </c>
      <c r="O28" s="1" t="s">
        <v>1</v>
      </c>
    </row>
    <row r="29" spans="2:18" ht="15.75" x14ac:dyDescent="0.25">
      <c r="B29" s="6" t="s">
        <v>9</v>
      </c>
      <c r="C29" s="6"/>
      <c r="D29" s="6"/>
      <c r="E29" s="6"/>
      <c r="F29" s="6"/>
      <c r="G29" s="6"/>
      <c r="H29" s="6"/>
      <c r="I29" s="6"/>
      <c r="J29" s="6"/>
      <c r="K29" s="6"/>
      <c r="L29" s="6"/>
      <c r="M29" s="6"/>
      <c r="N29" s="7">
        <f>N28*N27</f>
        <v>8.1120000000000001</v>
      </c>
      <c r="O29" s="6" t="s">
        <v>1</v>
      </c>
    </row>
    <row r="30" spans="2:18" x14ac:dyDescent="0.2">
      <c r="B30" s="176" t="s">
        <v>128</v>
      </c>
      <c r="C30" s="3"/>
      <c r="D30" s="3"/>
      <c r="E30" s="3"/>
      <c r="F30" s="3"/>
      <c r="G30" s="3"/>
    </row>
    <row r="31" spans="2:18" x14ac:dyDescent="0.2">
      <c r="B31" s="1" t="s">
        <v>11</v>
      </c>
      <c r="C31" s="1"/>
      <c r="D31" s="1"/>
      <c r="E31" s="1"/>
      <c r="F31" s="1"/>
      <c r="G31" s="1"/>
      <c r="H31" s="1"/>
      <c r="I31" s="1"/>
      <c r="J31" s="1"/>
      <c r="K31" s="1"/>
      <c r="L31" s="1"/>
      <c r="M31" s="1"/>
      <c r="N31" s="2">
        <f>N23-(N29*N12)</f>
        <v>134.25360000000001</v>
      </c>
      <c r="O31" s="1" t="s">
        <v>0</v>
      </c>
    </row>
    <row r="32" spans="2:18" ht="15.75" x14ac:dyDescent="0.25">
      <c r="B32" s="6" t="s">
        <v>151</v>
      </c>
      <c r="C32" s="6"/>
      <c r="D32" s="6"/>
      <c r="E32" s="6"/>
      <c r="F32" s="6"/>
      <c r="G32" s="6"/>
      <c r="H32" s="6"/>
      <c r="I32" s="6"/>
      <c r="J32" s="6"/>
      <c r="K32" s="6"/>
      <c r="L32" s="6"/>
      <c r="M32" s="6"/>
      <c r="N32" s="8">
        <f>ROUND(N31/(1.1625*D153*(N20-N21))*1000000,0)</f>
        <v>3301</v>
      </c>
      <c r="O32" s="6" t="s">
        <v>6</v>
      </c>
    </row>
    <row r="33" spans="2:15" ht="15" x14ac:dyDescent="0.25">
      <c r="B33" s="264" t="s">
        <v>175</v>
      </c>
      <c r="C33" s="264"/>
      <c r="D33" s="264"/>
      <c r="E33" s="264"/>
      <c r="F33" s="266">
        <f>(N31/(24-N29))*24</f>
        <v>202.8</v>
      </c>
      <c r="G33" s="264" t="s">
        <v>0</v>
      </c>
      <c r="H33" s="264"/>
      <c r="I33" s="264" t="s">
        <v>176</v>
      </c>
      <c r="J33" s="264"/>
      <c r="K33" s="264"/>
      <c r="L33" s="264"/>
      <c r="M33" s="264"/>
      <c r="N33" s="265">
        <f>ROUND(F33/(1.1625*D153*(N20-N21))*1000000,0)</f>
        <v>4987</v>
      </c>
      <c r="O33" s="264" t="s">
        <v>6</v>
      </c>
    </row>
    <row r="34" spans="2:15" ht="13.5" thickBot="1" x14ac:dyDescent="0.25">
      <c r="B34" s="176" t="s">
        <v>127</v>
      </c>
    </row>
    <row r="35" spans="2:15" ht="15.75" x14ac:dyDescent="0.25">
      <c r="B35" s="133" t="s">
        <v>96</v>
      </c>
      <c r="C35" s="148">
        <v>-3</v>
      </c>
      <c r="D35" s="134" t="s">
        <v>2</v>
      </c>
      <c r="E35" s="135"/>
      <c r="F35" s="173" t="s">
        <v>124</v>
      </c>
      <c r="G35" s="137">
        <f>(N12/(H12-K12))*(H12-C35)</f>
        <v>5.6333333333333329</v>
      </c>
      <c r="H35" s="136" t="s">
        <v>3</v>
      </c>
      <c r="I35" s="138"/>
      <c r="J35" s="138"/>
      <c r="K35" s="174" t="str">
        <f>"Wärmebedarf bei "&amp;C35&amp;"°C"</f>
        <v>Wärmebedarf bei -3°C</v>
      </c>
      <c r="L35" s="139"/>
      <c r="M35" s="139"/>
      <c r="N35" s="140">
        <f>G35*24</f>
        <v>135.19999999999999</v>
      </c>
      <c r="O35" s="141" t="s">
        <v>134</v>
      </c>
    </row>
    <row r="36" spans="2:15" x14ac:dyDescent="0.2">
      <c r="B36" s="124" t="str">
        <f>"Ein Speicher von "&amp;N32&amp;" Ltr. reicht bei "&amp;C35&amp;" °C AT für einen Energiebedarf von (nach Füllzeit)"</f>
        <v>Ein Speicher von 3301 Ltr. reicht bei -3 °C AT für einen Energiebedarf von (nach Füllzeit)</v>
      </c>
      <c r="C36" s="125"/>
      <c r="D36" s="125"/>
      <c r="E36" s="125"/>
      <c r="F36" s="125"/>
      <c r="G36" s="125"/>
      <c r="H36" s="125"/>
      <c r="I36" s="125"/>
      <c r="J36" s="127">
        <f>N31/N35</f>
        <v>0.9930000000000001</v>
      </c>
      <c r="K36" s="126" t="s">
        <v>97</v>
      </c>
      <c r="L36" s="125"/>
      <c r="M36" s="125"/>
      <c r="N36" s="127">
        <f>J36*24</f>
        <v>23.832000000000001</v>
      </c>
      <c r="O36" s="142" t="s">
        <v>92</v>
      </c>
    </row>
    <row r="37" spans="2:15" x14ac:dyDescent="0.2">
      <c r="B37" s="128" t="str">
        <f>"Die Anlage wird mit "&amp;N14&amp;" kW Leistung des HV geladen, Leistung in den Speicher : "</f>
        <v xml:space="preserve">Die Anlage wird mit 25 kW Leistung des HV geladen, Leistung in den Speicher : </v>
      </c>
      <c r="C37" s="129"/>
      <c r="D37" s="129"/>
      <c r="E37" s="129"/>
      <c r="F37" s="129"/>
      <c r="G37" s="130">
        <f>N14-G35</f>
        <v>19.366666666666667</v>
      </c>
      <c r="H37" s="130" t="s">
        <v>3</v>
      </c>
      <c r="I37" s="129" t="s">
        <v>125</v>
      </c>
      <c r="J37" s="129"/>
      <c r="K37" s="129"/>
      <c r="L37" s="129"/>
      <c r="M37" s="129"/>
      <c r="N37" s="130">
        <f>N14-G37</f>
        <v>5.6333333333333329</v>
      </c>
      <c r="O37" s="143" t="s">
        <v>0</v>
      </c>
    </row>
    <row r="38" spans="2:15" ht="13.5" thickBot="1" x14ac:dyDescent="0.25">
      <c r="B38" s="144" t="s">
        <v>98</v>
      </c>
      <c r="C38" s="146">
        <f>N31/G37</f>
        <v>6.9321996557659213</v>
      </c>
      <c r="D38" s="147" t="s">
        <v>94</v>
      </c>
      <c r="E38" s="145"/>
      <c r="F38" s="145" t="s">
        <v>126</v>
      </c>
      <c r="G38" s="145"/>
      <c r="H38" s="145"/>
      <c r="I38" s="145"/>
      <c r="J38" s="145"/>
      <c r="K38" s="145"/>
      <c r="L38" s="145"/>
      <c r="M38" s="145"/>
      <c r="N38" s="146">
        <f>N36+C38</f>
        <v>30.764199655765921</v>
      </c>
      <c r="O38" s="147" t="s">
        <v>1</v>
      </c>
    </row>
    <row r="39" spans="2:15" ht="13.5" thickBot="1" x14ac:dyDescent="0.25">
      <c r="B39" s="175" t="str">
        <f>"geänderte Speichergröße zur Heizlast von "&amp;N12&amp;"kW und Außentemperatur von "&amp;K12&amp;"°C"</f>
        <v>geänderte Speichergröße zur Heizlast von 8,45kW und Außentemperatur von -15°C</v>
      </c>
    </row>
    <row r="40" spans="2:15" x14ac:dyDescent="0.2">
      <c r="B40" s="58" t="str">
        <f>"vom Anwender vorgesehene Speichergröße, getrennte Rechnung (Speichergröße in obiger Rechnung  "&amp;ROUND(N32,0)&amp;" Ltr.)"</f>
        <v>vom Anwender vorgesehene Speichergröße, getrennte Rechnung (Speichergröße in obiger Rechnung  3301 Ltr.)</v>
      </c>
      <c r="C40" s="59"/>
      <c r="D40" s="59"/>
      <c r="E40" s="59"/>
      <c r="F40" s="59"/>
      <c r="G40" s="59"/>
      <c r="H40" s="59"/>
      <c r="I40" s="59"/>
      <c r="J40" s="59"/>
      <c r="K40" s="59"/>
      <c r="L40" s="59"/>
      <c r="M40" s="59"/>
      <c r="N40" s="118">
        <v>3000</v>
      </c>
      <c r="O40" s="60" t="s">
        <v>6</v>
      </c>
    </row>
    <row r="41" spans="2:15" x14ac:dyDescent="0.2">
      <c r="B41" s="61" t="str">
        <f>"Wärmeenergie bei "&amp;N20&amp;"/"&amp;N21&amp;" °C VLT/RLT im "&amp;N40&amp;" Ltr. Speicher"</f>
        <v>Wärmeenergie bei 80/44 °C VLT/RLT im 3000 Ltr. Speicher</v>
      </c>
      <c r="C41" s="62"/>
      <c r="D41" s="62"/>
      <c r="E41" s="62"/>
      <c r="F41" s="62"/>
      <c r="G41" s="62"/>
      <c r="H41" s="62"/>
      <c r="I41" s="62"/>
      <c r="J41" s="62"/>
      <c r="K41" s="62"/>
      <c r="L41" s="62"/>
      <c r="M41" s="62"/>
      <c r="N41" s="179">
        <f>N40*0.001163*(N20-N21)*D154</f>
        <v>122.06071116</v>
      </c>
      <c r="O41" s="63" t="s">
        <v>0</v>
      </c>
    </row>
    <row r="42" spans="2:15" x14ac:dyDescent="0.2">
      <c r="B42" s="61" t="s">
        <v>35</v>
      </c>
      <c r="C42" s="62"/>
      <c r="D42" s="62"/>
      <c r="E42" s="62"/>
      <c r="F42" s="62"/>
      <c r="G42" s="62"/>
      <c r="H42" s="62"/>
      <c r="I42" s="62"/>
      <c r="J42" s="62"/>
      <c r="K42" s="62"/>
      <c r="L42" s="62"/>
      <c r="M42" s="62"/>
      <c r="N42" s="64">
        <f>N41/N12</f>
        <v>14.44505457514793</v>
      </c>
      <c r="O42" s="63" t="s">
        <v>1</v>
      </c>
    </row>
    <row r="43" spans="2:15" ht="13.5" thickBot="1" x14ac:dyDescent="0.25">
      <c r="B43" s="101" t="s">
        <v>37</v>
      </c>
      <c r="C43" s="102"/>
      <c r="D43" s="102"/>
      <c r="E43" s="102"/>
      <c r="F43" s="102"/>
      <c r="G43" s="102"/>
      <c r="H43" s="102"/>
      <c r="I43" s="102"/>
      <c r="J43" s="102"/>
      <c r="K43" s="102"/>
      <c r="L43" s="102"/>
      <c r="M43" s="102"/>
      <c r="N43" s="103">
        <f>N41/N26</f>
        <v>1.3550061018213546</v>
      </c>
      <c r="O43" s="104" t="s">
        <v>36</v>
      </c>
    </row>
    <row r="44" spans="2:15" ht="19.5" thickBot="1" x14ac:dyDescent="0.35">
      <c r="B44" s="18" t="s">
        <v>24</v>
      </c>
      <c r="C44" s="19"/>
      <c r="D44" s="19"/>
      <c r="E44" s="19"/>
      <c r="F44" s="20"/>
      <c r="G44" s="20"/>
      <c r="H44" s="20"/>
      <c r="I44" s="20"/>
      <c r="J44" s="20"/>
      <c r="K44" s="20"/>
      <c r="L44" s="20"/>
      <c r="M44" s="20"/>
      <c r="N44" s="21"/>
      <c r="O44" s="20"/>
    </row>
    <row r="45" spans="2:15" x14ac:dyDescent="0.2">
      <c r="B45" s="48" t="s">
        <v>32</v>
      </c>
      <c r="C45" s="49"/>
      <c r="D45" s="49"/>
      <c r="E45" s="49"/>
      <c r="F45" s="50"/>
      <c r="G45" s="50"/>
      <c r="H45" s="50"/>
      <c r="I45" s="50"/>
      <c r="J45" s="50"/>
      <c r="K45" s="50"/>
      <c r="L45" s="50"/>
      <c r="M45" s="50"/>
      <c r="N45" s="51"/>
      <c r="O45" s="52"/>
    </row>
    <row r="46" spans="2:15" ht="13.5" thickBot="1" x14ac:dyDescent="0.25">
      <c r="B46" s="23" t="s">
        <v>38</v>
      </c>
      <c r="C46" s="19"/>
      <c r="D46" s="65" t="s">
        <v>39</v>
      </c>
      <c r="E46" s="19"/>
      <c r="F46" s="20"/>
      <c r="G46" s="20"/>
      <c r="H46" s="20"/>
      <c r="I46" s="20"/>
      <c r="J46" s="20"/>
      <c r="K46" s="20"/>
      <c r="L46" s="20"/>
      <c r="M46" s="20"/>
      <c r="N46" s="21"/>
      <c r="O46" s="22"/>
    </row>
    <row r="47" spans="2:15" ht="15" x14ac:dyDescent="0.25">
      <c r="B47" s="24" t="str">
        <f>"Fördermenge Umwälzpumpe bei "&amp;N14&amp;" kW und"</f>
        <v>Fördermenge Umwälzpumpe bei 25 kW und</v>
      </c>
      <c r="C47" s="119">
        <v>10</v>
      </c>
      <c r="D47" s="91" t="s">
        <v>49</v>
      </c>
      <c r="E47" s="25"/>
      <c r="F47" s="26">
        <f>ROUND((N14/(C47*0.0011625))/D154,1)</f>
        <v>2213</v>
      </c>
      <c r="G47" s="177" t="str">
        <f>"Ltr./h  Ström.-geschw. bei "&amp;G48&amp;"mm I-D.Rohr"</f>
        <v>Ltr./h  Ström.-geschw. bei 27,2mm I-D.Rohr</v>
      </c>
      <c r="H47" s="27"/>
      <c r="I47" s="27"/>
      <c r="J47" s="27"/>
      <c r="K47" s="27"/>
      <c r="L47" s="27"/>
      <c r="M47" s="27"/>
      <c r="N47" s="28">
        <f>((F47/1000)/3600)/((G48/1000)*(G48/1000)*PI()/4)</f>
        <v>1.0579160931563714</v>
      </c>
      <c r="O47" s="53" t="s">
        <v>26</v>
      </c>
    </row>
    <row r="48" spans="2:15" ht="15" x14ac:dyDescent="0.25">
      <c r="B48" s="29" t="s">
        <v>27</v>
      </c>
      <c r="C48" s="30"/>
      <c r="D48" s="30"/>
      <c r="E48" s="31"/>
      <c r="F48" s="55"/>
      <c r="G48" s="85">
        <v>27.2</v>
      </c>
      <c r="H48" s="56" t="s">
        <v>29</v>
      </c>
      <c r="I48" s="85"/>
      <c r="J48" s="85"/>
      <c r="K48" s="156"/>
      <c r="L48" s="156"/>
      <c r="M48" s="156"/>
      <c r="N48" s="32"/>
      <c r="O48" s="33"/>
    </row>
    <row r="49" spans="2:17" ht="18.75" x14ac:dyDescent="0.3">
      <c r="B49" s="109" t="s">
        <v>88</v>
      </c>
      <c r="C49" s="110"/>
      <c r="D49" s="110"/>
      <c r="E49" s="110"/>
      <c r="F49" s="111"/>
      <c r="G49" s="111"/>
      <c r="H49" s="111"/>
      <c r="I49" s="111"/>
      <c r="J49" s="111"/>
      <c r="K49" s="111"/>
      <c r="L49" s="111"/>
      <c r="M49" s="111"/>
      <c r="N49" s="111"/>
      <c r="O49" s="131"/>
      <c r="P49" s="111"/>
      <c r="Q49" s="15"/>
    </row>
    <row r="50" spans="2:17" ht="19.5" thickBot="1" x14ac:dyDescent="0.35">
      <c r="B50" s="132" t="str">
        <f>"Auslegung Regelventil Rücklaufanhebung bei Diff. "&amp;C47&amp;" °K gleich-größer als Kvs-Wert"</f>
        <v>Auslegung Regelventil Rücklaufanhebung bei Diff. 10 °K gleich-größer als Kvs-Wert</v>
      </c>
      <c r="C50" s="112"/>
      <c r="D50" s="113"/>
      <c r="E50" s="113"/>
      <c r="F50" s="114"/>
      <c r="G50" s="115"/>
      <c r="H50" s="115"/>
      <c r="I50" s="115"/>
      <c r="J50" s="115"/>
      <c r="K50" s="115"/>
      <c r="L50" s="115"/>
      <c r="M50" s="115"/>
      <c r="N50" s="116">
        <f>F47</f>
        <v>2213</v>
      </c>
      <c r="O50" s="117" t="s">
        <v>52</v>
      </c>
      <c r="Q50" s="15"/>
    </row>
    <row r="51" spans="2:17" ht="15.75" thickTop="1" x14ac:dyDescent="0.25">
      <c r="B51" s="38" t="str">
        <f>"Fördermenge im Speicherkreis bei "&amp;N21&amp;"°C RLT und "&amp;N14&amp;" kW"</f>
        <v>Fördermenge im Speicherkreis bei 44°C RLT und 25 kW</v>
      </c>
      <c r="C51" s="39"/>
      <c r="D51" s="39"/>
      <c r="E51" s="34"/>
      <c r="F51" s="35">
        <f>ROUND((N14/((N20-N21)*0.0011625))/D154,1)</f>
        <v>614.70000000000005</v>
      </c>
      <c r="G51" s="36" t="s">
        <v>25</v>
      </c>
      <c r="H51" s="36"/>
      <c r="I51" s="36"/>
      <c r="J51" s="36"/>
      <c r="K51" s="36"/>
      <c r="L51" s="36"/>
      <c r="M51" s="36"/>
      <c r="N51" s="37">
        <f>((F51/1000)/3600)/((F53/1000)*(F53/1000)*PI()/4)</f>
        <v>0.34784904362164643</v>
      </c>
      <c r="O51" s="54" t="s">
        <v>26</v>
      </c>
    </row>
    <row r="52" spans="2:17" ht="15" x14ac:dyDescent="0.25">
      <c r="B52" s="38" t="s">
        <v>28</v>
      </c>
      <c r="C52" s="39"/>
      <c r="D52" s="39"/>
      <c r="E52" s="34"/>
      <c r="F52" s="35"/>
      <c r="G52" s="36"/>
      <c r="H52" s="36"/>
      <c r="I52" s="36"/>
      <c r="J52" s="36"/>
      <c r="K52" s="36"/>
      <c r="L52" s="36"/>
      <c r="M52" s="36"/>
      <c r="N52" s="37"/>
      <c r="O52" s="54"/>
    </row>
    <row r="53" spans="2:17" ht="15" x14ac:dyDescent="0.25">
      <c r="B53" s="29" t="s">
        <v>115</v>
      </c>
      <c r="C53" s="30"/>
      <c r="D53" s="30"/>
      <c r="E53" s="31"/>
      <c r="F53" s="195">
        <v>25</v>
      </c>
      <c r="G53" s="196" t="s">
        <v>29</v>
      </c>
      <c r="H53" s="197"/>
      <c r="I53" s="166"/>
      <c r="J53" s="166"/>
      <c r="K53" s="166"/>
      <c r="L53" s="166"/>
      <c r="M53" s="166"/>
      <c r="N53" s="40"/>
      <c r="O53" s="33"/>
    </row>
    <row r="54" spans="2:17" ht="15.75" thickBot="1" x14ac:dyDescent="0.3">
      <c r="B54" s="41"/>
      <c r="C54" s="42"/>
      <c r="D54" s="42"/>
      <c r="E54" s="43"/>
      <c r="F54" s="44"/>
      <c r="G54" s="45"/>
      <c r="H54" s="45"/>
      <c r="I54" s="45"/>
      <c r="J54" s="45"/>
      <c r="K54" s="45"/>
      <c r="L54" s="45"/>
      <c r="M54" s="45"/>
      <c r="N54" s="46"/>
      <c r="O54" s="47"/>
    </row>
    <row r="55" spans="2:17" ht="15" x14ac:dyDescent="0.25">
      <c r="B55" s="92" t="s">
        <v>30</v>
      </c>
      <c r="C55" s="93"/>
      <c r="D55" s="93"/>
      <c r="E55" s="94"/>
      <c r="F55" s="198">
        <v>4000</v>
      </c>
      <c r="G55" s="199" t="s">
        <v>33</v>
      </c>
      <c r="H55" s="95"/>
      <c r="I55" s="27" t="s">
        <v>34</v>
      </c>
      <c r="J55" s="27"/>
      <c r="K55" s="27"/>
      <c r="L55" s="27"/>
      <c r="M55" s="27"/>
      <c r="N55" s="96">
        <f>F55/1000*150</f>
        <v>600</v>
      </c>
      <c r="O55" s="97" t="s">
        <v>31</v>
      </c>
    </row>
    <row r="56" spans="2:17" ht="15.75" thickBot="1" x14ac:dyDescent="0.3">
      <c r="B56" s="98" t="s">
        <v>40</v>
      </c>
      <c r="C56" s="99"/>
      <c r="D56" s="99"/>
      <c r="E56" s="99"/>
      <c r="F56" s="81"/>
      <c r="G56" s="81"/>
      <c r="H56" s="81"/>
      <c r="I56" s="81"/>
      <c r="J56" s="81"/>
      <c r="K56" s="81"/>
      <c r="L56" s="81"/>
      <c r="M56" s="81"/>
      <c r="N56" s="81"/>
      <c r="O56" s="100"/>
    </row>
    <row r="57" spans="2:17" x14ac:dyDescent="0.2">
      <c r="B57" t="s">
        <v>131</v>
      </c>
    </row>
    <row r="58" spans="2:17" ht="15" x14ac:dyDescent="0.25">
      <c r="B58" s="105" t="s">
        <v>56</v>
      </c>
    </row>
    <row r="59" spans="2:17" ht="19.5" thickBot="1" x14ac:dyDescent="0.35">
      <c r="B59" s="18" t="s">
        <v>41</v>
      </c>
      <c r="C59" s="16"/>
      <c r="D59" s="66"/>
      <c r="E59" s="66"/>
      <c r="F59" s="90"/>
      <c r="G59" s="90"/>
      <c r="H59" s="90"/>
      <c r="I59" s="90"/>
      <c r="J59" s="90"/>
      <c r="K59" s="90"/>
      <c r="L59" s="90"/>
      <c r="M59" s="90"/>
      <c r="N59" s="160" t="s">
        <v>120</v>
      </c>
      <c r="O59" s="159"/>
    </row>
    <row r="60" spans="2:17" x14ac:dyDescent="0.2">
      <c r="B60" s="67" t="s">
        <v>117</v>
      </c>
      <c r="C60" s="168">
        <v>500</v>
      </c>
      <c r="D60" s="68" t="s">
        <v>6</v>
      </c>
      <c r="E60" s="68"/>
      <c r="F60" s="68"/>
      <c r="G60" s="68"/>
      <c r="H60" s="68"/>
      <c r="I60" s="68"/>
      <c r="J60" s="68"/>
      <c r="K60" s="68"/>
      <c r="L60" s="68"/>
      <c r="M60" s="68"/>
      <c r="N60" s="68"/>
      <c r="O60" s="76"/>
    </row>
    <row r="61" spans="2:17" x14ac:dyDescent="0.2">
      <c r="B61" s="69" t="s">
        <v>42</v>
      </c>
      <c r="C61" s="120">
        <v>30</v>
      </c>
      <c r="D61" s="70" t="s">
        <v>2</v>
      </c>
      <c r="E61" s="86"/>
      <c r="F61" s="70"/>
      <c r="G61" s="70"/>
      <c r="H61" s="70" t="s">
        <v>43</v>
      </c>
      <c r="I61" s="70"/>
      <c r="J61" s="70"/>
      <c r="K61" s="70"/>
      <c r="L61" s="70"/>
      <c r="M61" s="70"/>
      <c r="N61" s="121">
        <v>60</v>
      </c>
      <c r="O61" s="77" t="s">
        <v>2</v>
      </c>
    </row>
    <row r="62" spans="2:17" x14ac:dyDescent="0.2">
      <c r="B62" s="71" t="s">
        <v>44</v>
      </c>
      <c r="C62" s="171">
        <f>N61-C61</f>
        <v>30</v>
      </c>
      <c r="D62" s="172" t="s">
        <v>45</v>
      </c>
      <c r="E62" s="72"/>
      <c r="F62" s="72"/>
      <c r="G62" s="72"/>
      <c r="H62" s="72"/>
      <c r="I62" s="72" t="s">
        <v>123</v>
      </c>
      <c r="J62" s="72"/>
      <c r="K62" s="72"/>
      <c r="L62" s="72"/>
      <c r="M62" s="72"/>
      <c r="N62" s="73">
        <f>C60*C62*D160*1.1625/1000</f>
        <v>17.144375625000002</v>
      </c>
      <c r="O62" s="78" t="s">
        <v>0</v>
      </c>
    </row>
    <row r="63" spans="2:17" ht="15" x14ac:dyDescent="0.25">
      <c r="B63" s="74" t="s">
        <v>119</v>
      </c>
      <c r="C63" s="170">
        <v>20</v>
      </c>
      <c r="D63" s="70" t="s">
        <v>118</v>
      </c>
      <c r="E63" s="75"/>
      <c r="F63" s="75"/>
      <c r="G63" s="75"/>
      <c r="H63" s="75" t="s">
        <v>46</v>
      </c>
      <c r="I63" s="75"/>
      <c r="J63" s="75"/>
      <c r="K63" s="75"/>
      <c r="L63" s="84"/>
      <c r="M63" s="84"/>
      <c r="N63" s="122">
        <v>10</v>
      </c>
      <c r="O63" s="79" t="s">
        <v>3</v>
      </c>
    </row>
    <row r="64" spans="2:17" ht="15.75" thickBot="1" x14ac:dyDescent="0.3">
      <c r="B64" s="80" t="str">
        <f>"Strömungsgeschw.bei "&amp;C63&amp;" mm ID und "&amp;N63&amp;" kW"</f>
        <v>Strömungsgeschw.bei 20 mm ID und 10 kW</v>
      </c>
      <c r="C64" s="169">
        <f>(((C60/N64)/1000)/3600)/((C63/1000)*(C63/1000)*PI()/4)</f>
        <v>0.25786711269874768</v>
      </c>
      <c r="D64" s="81" t="s">
        <v>122</v>
      </c>
      <c r="E64" s="81"/>
      <c r="F64" s="81"/>
      <c r="G64" s="81"/>
      <c r="H64" s="81"/>
      <c r="I64" s="81" t="s">
        <v>47</v>
      </c>
      <c r="J64" s="81"/>
      <c r="K64" s="81"/>
      <c r="L64" s="82"/>
      <c r="M64" s="82"/>
      <c r="N64" s="87">
        <f>N62/N63</f>
        <v>1.7144375625000001</v>
      </c>
      <c r="O64" s="83" t="s">
        <v>48</v>
      </c>
    </row>
    <row r="65" spans="2:15" ht="13.5" thickBot="1" x14ac:dyDescent="0.25">
      <c r="N65" s="160" t="s">
        <v>121</v>
      </c>
      <c r="O65" s="161"/>
    </row>
    <row r="66" spans="2:15" x14ac:dyDescent="0.2">
      <c r="B66" s="67" t="s">
        <v>53</v>
      </c>
      <c r="C66" s="123">
        <v>22</v>
      </c>
      <c r="D66" s="68" t="s">
        <v>3</v>
      </c>
      <c r="E66" s="68"/>
      <c r="F66" s="68"/>
      <c r="G66" s="68"/>
      <c r="H66" s="68" t="s">
        <v>55</v>
      </c>
      <c r="I66" s="68"/>
      <c r="J66" s="68"/>
      <c r="K66" s="68"/>
      <c r="L66" s="68"/>
      <c r="M66" s="68"/>
      <c r="N66" s="167">
        <v>1</v>
      </c>
      <c r="O66" s="76" t="s">
        <v>1</v>
      </c>
    </row>
    <row r="67" spans="2:15" x14ac:dyDescent="0.2">
      <c r="B67" s="69" t="s">
        <v>42</v>
      </c>
      <c r="C67" s="121">
        <v>50</v>
      </c>
      <c r="D67" s="70" t="s">
        <v>2</v>
      </c>
      <c r="E67" s="70"/>
      <c r="F67" s="70"/>
      <c r="G67" s="70"/>
      <c r="H67" s="70" t="s">
        <v>43</v>
      </c>
      <c r="I67" s="70"/>
      <c r="J67" s="70"/>
      <c r="K67" s="70"/>
      <c r="L67" s="70"/>
      <c r="M67" s="70"/>
      <c r="N67" s="121">
        <v>70</v>
      </c>
      <c r="O67" s="77" t="s">
        <v>2</v>
      </c>
    </row>
    <row r="68" spans="2:15" x14ac:dyDescent="0.2">
      <c r="B68" s="71" t="s">
        <v>44</v>
      </c>
      <c r="C68" s="73">
        <f>N67-C67</f>
        <v>20</v>
      </c>
      <c r="D68" s="72" t="s">
        <v>45</v>
      </c>
      <c r="E68" s="72"/>
      <c r="F68" s="72"/>
      <c r="G68" s="72"/>
      <c r="H68" s="72" t="s">
        <v>50</v>
      </c>
      <c r="I68" s="72"/>
      <c r="J68" s="72"/>
      <c r="K68" s="72"/>
      <c r="L68" s="72"/>
      <c r="M68" s="72"/>
      <c r="N68" s="73">
        <f>C66*N66</f>
        <v>22</v>
      </c>
      <c r="O68" s="78" t="s">
        <v>0</v>
      </c>
    </row>
    <row r="69" spans="2:15" ht="13.5" thickBot="1" x14ac:dyDescent="0.25">
      <c r="B69" s="88"/>
      <c r="C69" s="82"/>
      <c r="D69" s="82"/>
      <c r="E69" s="82"/>
      <c r="F69" s="82"/>
      <c r="G69" s="82"/>
      <c r="H69" s="82" t="s">
        <v>51</v>
      </c>
      <c r="I69" s="82"/>
      <c r="J69" s="82"/>
      <c r="K69" s="82"/>
      <c r="L69" s="82"/>
      <c r="M69" s="82"/>
      <c r="N69" s="89">
        <f>N68/(1.1625*D166*C68)*1000</f>
        <v>967.75953111170929</v>
      </c>
      <c r="O69" s="83" t="s">
        <v>52</v>
      </c>
    </row>
    <row r="71" spans="2:15" x14ac:dyDescent="0.2">
      <c r="B71" t="s">
        <v>113</v>
      </c>
    </row>
    <row r="72" spans="2:15" x14ac:dyDescent="0.2">
      <c r="O72" s="158"/>
    </row>
    <row r="73" spans="2:15" ht="15" x14ac:dyDescent="0.25">
      <c r="B73" s="105" t="s">
        <v>132</v>
      </c>
      <c r="O73" s="158" t="s">
        <v>133</v>
      </c>
    </row>
    <row r="74" spans="2:15" ht="15" x14ac:dyDescent="0.25">
      <c r="B74" s="105" t="s">
        <v>89</v>
      </c>
      <c r="O74" s="158" t="s">
        <v>99</v>
      </c>
    </row>
    <row r="75" spans="2:15" ht="15" x14ac:dyDescent="0.25">
      <c r="B75" s="105" t="s">
        <v>100</v>
      </c>
      <c r="O75" s="158" t="s">
        <v>101</v>
      </c>
    </row>
    <row r="76" spans="2:15" ht="15" x14ac:dyDescent="0.25">
      <c r="B76" s="105" t="s">
        <v>103</v>
      </c>
      <c r="O76" s="157" t="s">
        <v>104</v>
      </c>
    </row>
    <row r="77" spans="2:15" ht="15" x14ac:dyDescent="0.25">
      <c r="B77" s="105" t="s">
        <v>95</v>
      </c>
      <c r="O77" s="157" t="s">
        <v>102</v>
      </c>
    </row>
    <row r="78" spans="2:15" ht="15" x14ac:dyDescent="0.25">
      <c r="B78" s="105" t="s">
        <v>108</v>
      </c>
      <c r="O78" s="157" t="s">
        <v>109</v>
      </c>
    </row>
    <row r="79" spans="2:15" ht="15" x14ac:dyDescent="0.25">
      <c r="B79" s="105" t="s">
        <v>110</v>
      </c>
      <c r="O79" s="157" t="s">
        <v>93</v>
      </c>
    </row>
    <row r="80" spans="2:15" ht="15" x14ac:dyDescent="0.25">
      <c r="B80" s="105" t="s">
        <v>111</v>
      </c>
      <c r="O80" s="157" t="s">
        <v>112</v>
      </c>
    </row>
    <row r="83" spans="2:17" ht="19.5" thickBot="1" x14ac:dyDescent="0.35">
      <c r="B83" s="18" t="s">
        <v>140</v>
      </c>
    </row>
    <row r="84" spans="2:17" ht="15" x14ac:dyDescent="0.25">
      <c r="B84" s="186" t="s">
        <v>178</v>
      </c>
      <c r="C84" s="180"/>
      <c r="D84" s="180"/>
      <c r="E84" s="180"/>
      <c r="F84" s="180"/>
      <c r="G84" s="180"/>
      <c r="H84" s="180"/>
      <c r="I84" s="180"/>
      <c r="J84" s="180"/>
      <c r="K84" s="180"/>
      <c r="L84" s="180"/>
      <c r="M84" s="180"/>
      <c r="N84" s="184">
        <v>12</v>
      </c>
      <c r="O84" s="185" t="s">
        <v>1</v>
      </c>
      <c r="Q84">
        <f>N87*N84</f>
        <v>300</v>
      </c>
    </row>
    <row r="85" spans="2:17" ht="15" x14ac:dyDescent="0.25">
      <c r="B85" s="181" t="str">
        <f>"Benötigte Wärmeenergie für diese Zeit von "&amp;N84&amp;" h"</f>
        <v>Benötigte Wärmeenergie für diese Zeit von 12 h</v>
      </c>
      <c r="C85" s="182"/>
      <c r="D85" s="182"/>
      <c r="E85" s="182"/>
      <c r="F85" s="182"/>
      <c r="G85" s="182"/>
      <c r="H85" s="182"/>
      <c r="I85" s="182"/>
      <c r="J85" s="182"/>
      <c r="K85" s="182"/>
      <c r="L85" s="182"/>
      <c r="M85" s="182"/>
      <c r="N85" s="183">
        <f>N84*(N23/24)</f>
        <v>101.39999999999999</v>
      </c>
      <c r="O85" s="54" t="s">
        <v>0</v>
      </c>
      <c r="Q85">
        <f>N87*N86</f>
        <v>101.4</v>
      </c>
    </row>
    <row r="86" spans="2:17" ht="15" x14ac:dyDescent="0.25">
      <c r="B86" s="181" t="s">
        <v>138</v>
      </c>
      <c r="C86" s="182"/>
      <c r="D86" s="182"/>
      <c r="E86" s="182"/>
      <c r="F86" s="182"/>
      <c r="G86" s="182"/>
      <c r="H86" s="182"/>
      <c r="I86" s="182"/>
      <c r="J86" s="182"/>
      <c r="K86" s="182"/>
      <c r="L86" s="182"/>
      <c r="M86" s="182"/>
      <c r="N86" s="35">
        <f>N85/N87</f>
        <v>4.056</v>
      </c>
      <c r="O86" s="54" t="s">
        <v>1</v>
      </c>
      <c r="Q86">
        <f>N85/25</f>
        <v>4.056</v>
      </c>
    </row>
    <row r="87" spans="2:17" ht="15" x14ac:dyDescent="0.25">
      <c r="B87" s="187" t="s">
        <v>180</v>
      </c>
      <c r="C87" s="188"/>
      <c r="D87" s="188"/>
      <c r="E87" s="188"/>
      <c r="F87" s="188"/>
      <c r="G87" s="188"/>
      <c r="H87" s="188"/>
      <c r="I87" s="188"/>
      <c r="J87" s="188"/>
      <c r="K87" s="188"/>
      <c r="L87" s="188"/>
      <c r="M87" s="188"/>
      <c r="N87" s="189">
        <f>N14</f>
        <v>25</v>
      </c>
      <c r="O87" s="190" t="s">
        <v>3</v>
      </c>
    </row>
    <row r="88" spans="2:17" ht="15" x14ac:dyDescent="0.25">
      <c r="B88" s="181" t="s">
        <v>136</v>
      </c>
      <c r="C88" s="182"/>
      <c r="D88" s="35">
        <f>ROUND(N84-N86,0)</f>
        <v>8</v>
      </c>
      <c r="E88" s="182" t="s">
        <v>1</v>
      </c>
      <c r="F88" s="182" t="s">
        <v>137</v>
      </c>
      <c r="G88" s="182"/>
      <c r="H88" s="182"/>
      <c r="I88" s="182"/>
      <c r="J88" s="182"/>
      <c r="K88" s="182"/>
      <c r="L88" s="182"/>
      <c r="M88" s="182"/>
      <c r="N88" s="35">
        <f>D88*(N23/24)</f>
        <v>67.599999999999994</v>
      </c>
      <c r="O88" s="54" t="s">
        <v>0</v>
      </c>
    </row>
    <row r="89" spans="2:17" ht="15.75" thickBot="1" x14ac:dyDescent="0.3">
      <c r="B89" s="80" t="s">
        <v>142</v>
      </c>
      <c r="C89" s="81"/>
      <c r="D89" s="81"/>
      <c r="E89" s="81"/>
      <c r="F89" s="81"/>
      <c r="G89" s="81"/>
      <c r="H89" s="81"/>
      <c r="I89" s="81"/>
      <c r="J89" s="81"/>
      <c r="K89" s="81"/>
      <c r="L89" s="81"/>
      <c r="M89" s="81"/>
      <c r="N89" s="81">
        <f>ROUND(N88/(1.1625*D153*(N20-N21))*1000000,0)</f>
        <v>1662</v>
      </c>
      <c r="O89" s="100" t="s">
        <v>6</v>
      </c>
    </row>
    <row r="90" spans="2:17" ht="19.5" thickBot="1" x14ac:dyDescent="0.35">
      <c r="B90" s="18" t="s">
        <v>150</v>
      </c>
    </row>
    <row r="91" spans="2:17" ht="15" x14ac:dyDescent="0.25">
      <c r="B91" s="215" t="s">
        <v>145</v>
      </c>
      <c r="C91" s="139"/>
      <c r="D91" s="139"/>
      <c r="E91" s="139"/>
      <c r="F91" s="139"/>
      <c r="G91" s="139"/>
      <c r="H91" s="139"/>
      <c r="I91" s="139"/>
      <c r="J91" s="139"/>
      <c r="K91" s="139"/>
      <c r="L91" s="139"/>
      <c r="M91" s="139"/>
      <c r="N91" s="140">
        <f>24-N84</f>
        <v>12</v>
      </c>
      <c r="O91" s="53" t="s">
        <v>1</v>
      </c>
    </row>
    <row r="92" spans="2:17" ht="15.75" thickBot="1" x14ac:dyDescent="0.3">
      <c r="B92" s="80" t="s">
        <v>179</v>
      </c>
      <c r="C92" s="102"/>
      <c r="D92" s="102"/>
      <c r="E92" s="102"/>
      <c r="F92" s="102"/>
      <c r="G92" s="102"/>
      <c r="H92" s="102"/>
      <c r="I92" s="102"/>
      <c r="J92" s="102"/>
      <c r="K92" s="102"/>
      <c r="L92" s="102"/>
      <c r="M92" s="102"/>
      <c r="N92" s="216">
        <f>N29</f>
        <v>8.1120000000000001</v>
      </c>
      <c r="O92" s="104" t="s">
        <v>1</v>
      </c>
    </row>
    <row r="93" spans="2:17" ht="19.5" thickBot="1" x14ac:dyDescent="0.35">
      <c r="B93" s="18" t="s">
        <v>148</v>
      </c>
      <c r="C93" s="3"/>
      <c r="D93" s="3"/>
      <c r="E93" s="3"/>
      <c r="F93" s="3"/>
      <c r="G93" s="3"/>
      <c r="H93" s="3"/>
      <c r="I93" s="3"/>
      <c r="J93" s="3"/>
      <c r="K93" s="3"/>
      <c r="L93" s="3"/>
      <c r="M93" s="3"/>
      <c r="N93" s="202"/>
      <c r="O93" s="201"/>
    </row>
    <row r="94" spans="2:17" ht="15" x14ac:dyDescent="0.25">
      <c r="B94" s="203" t="str">
        <f>"1. Heizzeit während Abwesenheit "&amp;ROUND(N86,1)&amp;" h"</f>
        <v>1. Heizzeit während Abwesenheit 4,1 h</v>
      </c>
      <c r="C94" s="204"/>
      <c r="D94" s="205"/>
    </row>
    <row r="95" spans="2:17" ht="15" x14ac:dyDescent="0.25">
      <c r="B95" s="206" t="str">
        <f>"Abwesenheit inkl. 1. Heizzeit "&amp;N84&amp;" h; Heizen aus Speicher ca. "&amp;ROUND(N84-N86,1)&amp;" h"</f>
        <v>Abwesenheit inkl. 1. Heizzeit 12 h; Heizen aus Speicher ca. 7,9 h</v>
      </c>
      <c r="C95" s="207"/>
      <c r="D95" s="208"/>
    </row>
    <row r="96" spans="2:17" ht="15" x14ac:dyDescent="0.25">
      <c r="B96" s="209" t="str">
        <f>"Rest-Heizzeit nach Abwenheit "&amp;ROUND(N29-N86,1)&amp;" h"</f>
        <v>Rest-Heizzeit nach Abwenheit 4,1 h</v>
      </c>
      <c r="C96" s="210"/>
      <c r="D96" s="211"/>
    </row>
    <row r="97" spans="2:15" ht="15.75" thickBot="1" x14ac:dyDescent="0.3">
      <c r="B97" s="212" t="str">
        <f>"Heizen aus Speicher nach Abwesenheit und HV aus, ca. "&amp;ROUND(24-N84-(N29-N86),1)&amp;" h"</f>
        <v>Heizen aus Speicher nach Abwesenheit und HV aus, ca. 7,9 h</v>
      </c>
      <c r="C97" s="213"/>
      <c r="D97" s="214"/>
      <c r="M97" s="200"/>
    </row>
    <row r="98" spans="2:15" ht="19.5" thickBot="1" x14ac:dyDescent="0.35">
      <c r="B98" s="18" t="s">
        <v>149</v>
      </c>
    </row>
    <row r="99" spans="2:15" ht="15" x14ac:dyDescent="0.25">
      <c r="B99" s="215" t="str">
        <f>"Zu erzeugende Restenergie für die verbleibenden "&amp;24-N84&amp;" h"</f>
        <v>Zu erzeugende Restenergie für die verbleibenden 12 h</v>
      </c>
      <c r="C99" s="217"/>
      <c r="D99" s="217"/>
      <c r="E99" s="217"/>
      <c r="F99" s="217"/>
      <c r="G99" s="217"/>
      <c r="H99" s="217"/>
      <c r="I99" s="217"/>
      <c r="J99" s="217"/>
      <c r="K99" s="217"/>
      <c r="L99" s="217"/>
      <c r="M99" s="217"/>
      <c r="N99" s="218">
        <f>N23-N85</f>
        <v>101.39999999999999</v>
      </c>
      <c r="O99" s="53" t="s">
        <v>0</v>
      </c>
    </row>
    <row r="100" spans="2:15" ht="15" x14ac:dyDescent="0.25">
      <c r="B100" s="181" t="s">
        <v>136</v>
      </c>
      <c r="C100" s="182"/>
      <c r="D100" s="35">
        <f>24-N84-(N29-N86)</f>
        <v>7.944</v>
      </c>
      <c r="E100" s="182" t="s">
        <v>1</v>
      </c>
      <c r="F100" s="182" t="s">
        <v>137</v>
      </c>
      <c r="G100" s="182"/>
      <c r="H100" s="62"/>
      <c r="I100" s="62"/>
      <c r="J100" s="62"/>
      <c r="K100" s="62"/>
      <c r="L100" s="62"/>
      <c r="M100" s="62"/>
      <c r="N100" s="179">
        <f>D100*(N23/24)</f>
        <v>67.126799999999989</v>
      </c>
      <c r="O100" s="63" t="s">
        <v>0</v>
      </c>
    </row>
    <row r="101" spans="2:15" ht="15" x14ac:dyDescent="0.25">
      <c r="B101" s="181" t="s">
        <v>146</v>
      </c>
      <c r="C101" s="182"/>
      <c r="D101" s="182"/>
      <c r="E101" s="182"/>
      <c r="F101" s="182"/>
      <c r="G101" s="182"/>
      <c r="H101" s="182"/>
      <c r="I101" s="182"/>
      <c r="J101" s="182"/>
      <c r="K101" s="182"/>
      <c r="L101" s="182"/>
      <c r="M101" s="182"/>
      <c r="N101" s="182">
        <f>ROUND(N100/(1.1625*D153*(N20-N21))*1000000,0)</f>
        <v>1651</v>
      </c>
      <c r="O101" s="54" t="s">
        <v>6</v>
      </c>
    </row>
    <row r="102" spans="2:15" ht="13.5" thickBot="1" x14ac:dyDescent="0.25">
      <c r="B102" s="101"/>
      <c r="C102" s="102"/>
      <c r="D102" s="102"/>
      <c r="E102" s="102"/>
      <c r="F102" s="102"/>
      <c r="G102" s="102"/>
      <c r="H102" s="102"/>
      <c r="I102" s="102"/>
      <c r="J102" s="102"/>
      <c r="K102" s="102"/>
      <c r="L102" s="102"/>
      <c r="M102" s="102"/>
      <c r="N102" s="102"/>
      <c r="O102" s="104"/>
    </row>
    <row r="103" spans="2:15" ht="19.5" thickBot="1" x14ac:dyDescent="0.35">
      <c r="B103" s="18" t="s">
        <v>174</v>
      </c>
    </row>
    <row r="104" spans="2:15" ht="16.5" thickBot="1" x14ac:dyDescent="0.3">
      <c r="B104" s="219" t="s">
        <v>147</v>
      </c>
      <c r="C104" s="220"/>
      <c r="D104" s="220"/>
      <c r="E104" s="220"/>
      <c r="F104" s="220"/>
      <c r="G104" s="220"/>
      <c r="H104" s="220"/>
      <c r="I104" s="220"/>
      <c r="J104" s="220"/>
      <c r="K104" s="220"/>
      <c r="L104" s="220"/>
      <c r="M104" s="220"/>
      <c r="N104" s="220">
        <f>MAX(N89,N101)</f>
        <v>1662</v>
      </c>
      <c r="O104" s="221" t="s">
        <v>6</v>
      </c>
    </row>
    <row r="107" spans="2:15" x14ac:dyDescent="0.2">
      <c r="C107" s="1" t="s">
        <v>13</v>
      </c>
      <c r="D107" s="2"/>
      <c r="E107" s="2"/>
      <c r="F107" s="1"/>
      <c r="G107" s="2"/>
      <c r="H107" s="5" t="s">
        <v>14</v>
      </c>
      <c r="I107" s="5"/>
      <c r="J107" s="5"/>
      <c r="K107" s="5"/>
      <c r="L107" s="5"/>
      <c r="M107" s="5"/>
      <c r="N107" s="5"/>
    </row>
    <row r="108" spans="2:15" ht="19.5" thickBot="1" x14ac:dyDescent="0.35">
      <c r="B108" s="18" t="s">
        <v>173</v>
      </c>
    </row>
    <row r="109" spans="2:15" ht="15" x14ac:dyDescent="0.25">
      <c r="B109" s="222" t="s">
        <v>152</v>
      </c>
      <c r="C109" s="223"/>
      <c r="D109" s="223"/>
      <c r="E109" s="263" t="s">
        <v>153</v>
      </c>
      <c r="F109" s="223"/>
      <c r="G109" s="224" t="s">
        <v>154</v>
      </c>
      <c r="H109" s="225"/>
      <c r="I109" s="223"/>
      <c r="J109" s="224" t="s">
        <v>155</v>
      </c>
      <c r="K109" s="226"/>
      <c r="L109" s="223"/>
      <c r="M109" s="224" t="s">
        <v>155</v>
      </c>
      <c r="N109" s="226"/>
    </row>
    <row r="110" spans="2:15" ht="15" x14ac:dyDescent="0.25">
      <c r="B110" s="227" t="s">
        <v>156</v>
      </c>
      <c r="C110" s="15"/>
      <c r="D110" s="15"/>
      <c r="E110" s="15"/>
      <c r="F110" s="15"/>
      <c r="G110" s="258">
        <v>3000</v>
      </c>
      <c r="H110" s="228" t="s">
        <v>6</v>
      </c>
      <c r="I110" s="15"/>
      <c r="J110" s="229" t="s">
        <v>169</v>
      </c>
      <c r="K110" s="230"/>
      <c r="L110" s="15"/>
      <c r="M110" s="229" t="s">
        <v>157</v>
      </c>
      <c r="N110" s="228"/>
    </row>
    <row r="111" spans="2:15" ht="15.75" thickBot="1" x14ac:dyDescent="0.3">
      <c r="B111" s="227" t="s">
        <v>158</v>
      </c>
      <c r="C111" s="15"/>
      <c r="D111" s="15"/>
      <c r="E111" s="15"/>
      <c r="F111" s="15"/>
      <c r="G111" s="258">
        <v>95</v>
      </c>
      <c r="H111" s="228" t="s">
        <v>2</v>
      </c>
      <c r="I111" s="15"/>
      <c r="J111" s="229" t="s">
        <v>168</v>
      </c>
      <c r="K111" s="230"/>
      <c r="L111" s="15"/>
      <c r="M111" s="229"/>
      <c r="N111" s="228"/>
    </row>
    <row r="112" spans="2:15" ht="15.75" thickBot="1" x14ac:dyDescent="0.3">
      <c r="B112" s="227" t="str">
        <f>"Ausdehnung von 100 Ltr. bei 10°C bis "&amp;G111&amp;"°C um"</f>
        <v>Ausdehnung von 100 Ltr. bei 10°C bis 95°C um</v>
      </c>
      <c r="C112" s="15"/>
      <c r="D112" s="15"/>
      <c r="E112" s="15"/>
      <c r="F112" s="15"/>
      <c r="G112" s="259">
        <f>HLOOKUP(G111,D124:M125,2)</f>
        <v>3.93</v>
      </c>
      <c r="H112" s="228" t="s">
        <v>6</v>
      </c>
      <c r="I112" s="15"/>
      <c r="J112" s="229"/>
      <c r="K112" s="230"/>
      <c r="L112" s="15"/>
      <c r="M112" s="229"/>
      <c r="N112" s="228"/>
    </row>
    <row r="113" spans="2:14" ht="15" x14ac:dyDescent="0.25">
      <c r="B113" s="227" t="s">
        <v>159</v>
      </c>
      <c r="C113" s="15"/>
      <c r="D113" s="15"/>
      <c r="E113" s="231" t="s">
        <v>160</v>
      </c>
      <c r="F113" s="15"/>
      <c r="G113" s="260">
        <f>G110/100*G112</f>
        <v>117.9</v>
      </c>
      <c r="H113" s="228" t="s">
        <v>6</v>
      </c>
      <c r="I113" s="15"/>
      <c r="J113" s="232"/>
      <c r="K113" s="230"/>
      <c r="L113" s="15"/>
      <c r="M113" s="232"/>
      <c r="N113" s="228"/>
    </row>
    <row r="114" spans="2:14" ht="15" x14ac:dyDescent="0.25">
      <c r="B114" s="227"/>
      <c r="C114" s="15"/>
      <c r="D114" s="15"/>
      <c r="E114" s="15"/>
      <c r="F114" s="15"/>
      <c r="G114" s="233"/>
      <c r="H114" s="228"/>
      <c r="I114" s="15"/>
      <c r="J114" s="233"/>
      <c r="K114" s="228"/>
      <c r="L114" s="15"/>
      <c r="M114" s="233"/>
      <c r="N114" s="228"/>
    </row>
    <row r="115" spans="2:14" ht="15" x14ac:dyDescent="0.25">
      <c r="B115" s="227" t="str">
        <f>"Anfangsdruck kalt bei 10°C"</f>
        <v>Anfangsdruck kalt bei 10°C</v>
      </c>
      <c r="C115" s="15"/>
      <c r="D115" s="15"/>
      <c r="E115" s="231" t="s">
        <v>161</v>
      </c>
      <c r="F115" s="15"/>
      <c r="G115" s="252">
        <v>1.5</v>
      </c>
      <c r="H115" s="253" t="s">
        <v>162</v>
      </c>
      <c r="I115" s="254"/>
      <c r="J115" s="262">
        <f>(((G113*J116)/J118)-J116)*-1</f>
        <v>1.5004237288135593</v>
      </c>
      <c r="K115" s="253" t="s">
        <v>162</v>
      </c>
      <c r="L115" s="254"/>
      <c r="M115" s="255">
        <v>1.5</v>
      </c>
      <c r="N115" s="234" t="s">
        <v>162</v>
      </c>
    </row>
    <row r="116" spans="2:14" ht="15" x14ac:dyDescent="0.25">
      <c r="B116" s="227" t="str">
        <f>"max. Enddruck bei "&amp;G111&amp;"°C"</f>
        <v>max. Enddruck bei 95°C</v>
      </c>
      <c r="C116" s="15"/>
      <c r="D116" s="15"/>
      <c r="E116" s="231" t="s">
        <v>163</v>
      </c>
      <c r="F116" s="15"/>
      <c r="G116" s="252">
        <v>2</v>
      </c>
      <c r="H116" s="253" t="s">
        <v>162</v>
      </c>
      <c r="I116" s="254"/>
      <c r="J116" s="252">
        <v>2</v>
      </c>
      <c r="K116" s="253" t="s">
        <v>162</v>
      </c>
      <c r="L116" s="254"/>
      <c r="M116" s="262">
        <f>M115/(1-(G113/M118))</f>
        <v>1.9994351878000565</v>
      </c>
      <c r="N116" s="234" t="s">
        <v>162</v>
      </c>
    </row>
    <row r="117" spans="2:14" ht="15" x14ac:dyDescent="0.25">
      <c r="B117" s="227"/>
      <c r="C117" s="15"/>
      <c r="D117" s="15"/>
      <c r="E117" s="15"/>
      <c r="F117" s="15"/>
      <c r="G117" s="233"/>
      <c r="H117" s="228"/>
      <c r="I117" s="15"/>
      <c r="J117" s="233"/>
      <c r="K117" s="228"/>
      <c r="L117" s="15"/>
      <c r="M117" s="233"/>
      <c r="N117" s="228"/>
    </row>
    <row r="118" spans="2:14" ht="15.75" thickBot="1" x14ac:dyDescent="0.3">
      <c r="B118" s="227" t="s">
        <v>164</v>
      </c>
      <c r="C118" s="15"/>
      <c r="D118" s="15"/>
      <c r="E118" s="231" t="s">
        <v>165</v>
      </c>
      <c r="F118" s="15"/>
      <c r="G118" s="261">
        <f>G113*G116/(G116-G115)</f>
        <v>471.6</v>
      </c>
      <c r="H118" s="256" t="s">
        <v>6</v>
      </c>
      <c r="I118" s="254"/>
      <c r="J118" s="257">
        <v>472</v>
      </c>
      <c r="K118" s="256" t="s">
        <v>6</v>
      </c>
      <c r="L118" s="254"/>
      <c r="M118" s="257">
        <v>472</v>
      </c>
      <c r="N118" s="235" t="s">
        <v>6</v>
      </c>
    </row>
    <row r="119" spans="2:14" ht="15" x14ac:dyDescent="0.25">
      <c r="B119" s="236" t="s">
        <v>166</v>
      </c>
      <c r="C119" s="15"/>
      <c r="D119" s="15"/>
      <c r="E119" s="15"/>
      <c r="F119" s="15"/>
      <c r="G119" s="15"/>
      <c r="H119" s="15"/>
      <c r="I119" s="15"/>
      <c r="J119" s="15"/>
      <c r="K119" s="15"/>
      <c r="L119" s="15"/>
      <c r="M119" s="15"/>
      <c r="N119" s="228"/>
    </row>
    <row r="120" spans="2:14" ht="13.5" thickBot="1" x14ac:dyDescent="0.25">
      <c r="B120" s="237" t="s">
        <v>167</v>
      </c>
      <c r="C120" s="238"/>
      <c r="D120" s="238"/>
      <c r="E120" s="238"/>
      <c r="F120" s="238"/>
      <c r="G120" s="238"/>
      <c r="H120" s="238"/>
      <c r="I120" s="238"/>
      <c r="J120" s="238"/>
      <c r="K120" s="238"/>
      <c r="L120" s="238"/>
      <c r="M120" s="238"/>
      <c r="N120" s="239"/>
    </row>
    <row r="123" spans="2:14" x14ac:dyDescent="0.2">
      <c r="C123" s="240" t="s">
        <v>170</v>
      </c>
      <c r="D123" s="241"/>
      <c r="E123" s="241"/>
      <c r="F123" s="241"/>
      <c r="G123" s="241"/>
      <c r="H123" s="241"/>
      <c r="I123" s="241"/>
      <c r="J123" s="241"/>
      <c r="K123" s="241"/>
      <c r="L123" s="251"/>
      <c r="M123" s="242"/>
    </row>
    <row r="124" spans="2:14" x14ac:dyDescent="0.2">
      <c r="C124" s="243" t="s">
        <v>171</v>
      </c>
      <c r="D124" s="244">
        <v>30</v>
      </c>
      <c r="E124" s="244">
        <v>40</v>
      </c>
      <c r="F124" s="244">
        <v>50</v>
      </c>
      <c r="G124" s="244">
        <v>60</v>
      </c>
      <c r="H124" s="244">
        <v>70</v>
      </c>
      <c r="I124" s="244">
        <v>80</v>
      </c>
      <c r="J124" s="244">
        <v>90</v>
      </c>
      <c r="K124" s="245">
        <v>95</v>
      </c>
      <c r="L124" s="15"/>
      <c r="M124" s="246">
        <v>100</v>
      </c>
    </row>
    <row r="125" spans="2:14" x14ac:dyDescent="0.2">
      <c r="C125" s="247" t="s">
        <v>172</v>
      </c>
      <c r="D125" s="248">
        <v>0.4</v>
      </c>
      <c r="E125" s="248">
        <v>0.75</v>
      </c>
      <c r="F125" s="249">
        <v>1.17</v>
      </c>
      <c r="G125" s="249">
        <v>1.67</v>
      </c>
      <c r="H125" s="249">
        <v>2.2400000000000002</v>
      </c>
      <c r="I125" s="249">
        <v>2.86</v>
      </c>
      <c r="J125" s="249">
        <v>3.55</v>
      </c>
      <c r="K125" s="249">
        <v>3.93</v>
      </c>
      <c r="L125" s="249"/>
      <c r="M125" s="250">
        <v>4.3099999999999996</v>
      </c>
    </row>
    <row r="149" spans="1:12" x14ac:dyDescent="0.2">
      <c r="A149" s="149" t="s">
        <v>81</v>
      </c>
      <c r="B149" s="150"/>
      <c r="C149" s="149"/>
      <c r="D149" s="149"/>
      <c r="E149" s="149"/>
      <c r="F149" s="149"/>
      <c r="G149" s="149"/>
      <c r="H149" s="149"/>
      <c r="I149" s="149"/>
      <c r="J149" s="149"/>
      <c r="K149" s="149"/>
      <c r="L149" s="149"/>
    </row>
    <row r="150" spans="1:12" x14ac:dyDescent="0.2">
      <c r="A150" s="151" t="s">
        <v>2</v>
      </c>
      <c r="B150" s="152" t="s">
        <v>87</v>
      </c>
      <c r="C150" s="149"/>
      <c r="D150" s="149"/>
      <c r="E150" s="149"/>
      <c r="F150" s="149"/>
      <c r="G150" s="149"/>
      <c r="H150" s="149"/>
      <c r="I150" s="149"/>
      <c r="J150" s="149"/>
      <c r="K150" s="149"/>
      <c r="L150" s="149"/>
    </row>
    <row r="151" spans="1:12" x14ac:dyDescent="0.2">
      <c r="A151" s="149"/>
      <c r="B151" s="150"/>
      <c r="C151" s="149"/>
      <c r="D151" s="153">
        <f>N20</f>
        <v>80</v>
      </c>
      <c r="E151" s="154" t="s">
        <v>86</v>
      </c>
      <c r="F151" s="154"/>
      <c r="G151" s="154"/>
      <c r="H151" s="154"/>
      <c r="I151" s="154"/>
      <c r="J151" s="154"/>
      <c r="K151" s="154"/>
      <c r="L151" s="149"/>
    </row>
    <row r="152" spans="1:12" x14ac:dyDescent="0.2">
      <c r="A152" s="149"/>
      <c r="B152" s="150"/>
      <c r="C152" s="149"/>
      <c r="D152" s="154">
        <f>ROUND(D151,0)</f>
        <v>80</v>
      </c>
      <c r="E152" s="154" t="s">
        <v>82</v>
      </c>
      <c r="F152" s="154"/>
      <c r="G152" s="154"/>
      <c r="H152" s="154"/>
      <c r="I152" s="154"/>
      <c r="J152" s="154"/>
      <c r="K152" s="154"/>
      <c r="L152" s="149"/>
    </row>
    <row r="153" spans="1:12" x14ac:dyDescent="0.2">
      <c r="A153" s="149">
        <v>0</v>
      </c>
      <c r="B153" s="150">
        <v>999.84</v>
      </c>
      <c r="C153" s="149"/>
      <c r="D153" s="154">
        <f>LOOKUP(D152,$A$153:$B$253)</f>
        <v>971.79</v>
      </c>
      <c r="E153" s="154" t="s">
        <v>83</v>
      </c>
      <c r="F153" s="154"/>
      <c r="G153" s="154"/>
      <c r="H153" s="154"/>
      <c r="I153" s="154"/>
      <c r="J153" s="154"/>
      <c r="K153" s="154"/>
      <c r="L153" s="149"/>
    </row>
    <row r="154" spans="1:12" x14ac:dyDescent="0.2">
      <c r="A154" s="149">
        <v>1</v>
      </c>
      <c r="B154" s="150">
        <v>999.9</v>
      </c>
      <c r="C154" s="149"/>
      <c r="D154" s="154">
        <f>D153/1000</f>
        <v>0.97178999999999993</v>
      </c>
      <c r="E154" s="154" t="s">
        <v>84</v>
      </c>
      <c r="F154" s="154"/>
      <c r="G154" s="154"/>
      <c r="H154" s="154"/>
      <c r="I154" s="154"/>
      <c r="J154" s="154"/>
      <c r="K154" s="154"/>
      <c r="L154" s="149"/>
    </row>
    <row r="155" spans="1:12" x14ac:dyDescent="0.2">
      <c r="A155" s="149">
        <v>2</v>
      </c>
      <c r="B155" s="150">
        <v>999.94</v>
      </c>
      <c r="C155" s="149"/>
      <c r="D155" s="154"/>
      <c r="E155" s="154"/>
      <c r="F155" s="154"/>
      <c r="G155" s="154"/>
      <c r="H155" s="154"/>
      <c r="I155" s="154"/>
      <c r="J155" s="154"/>
      <c r="K155" s="154"/>
      <c r="L155" s="149"/>
    </row>
    <row r="156" spans="1:12" x14ac:dyDescent="0.2">
      <c r="A156" s="149">
        <v>3</v>
      </c>
      <c r="B156" s="150">
        <v>999.96</v>
      </c>
      <c r="C156" s="149"/>
      <c r="D156" s="154"/>
      <c r="E156" s="154"/>
      <c r="F156" s="154"/>
      <c r="G156" s="154"/>
      <c r="H156" s="154"/>
      <c r="I156" s="154"/>
      <c r="J156" s="154"/>
      <c r="K156" s="154"/>
      <c r="L156" s="149"/>
    </row>
    <row r="157" spans="1:12" x14ac:dyDescent="0.2">
      <c r="A157" s="149">
        <v>4</v>
      </c>
      <c r="B157" s="150">
        <v>999.97</v>
      </c>
      <c r="C157" s="149"/>
      <c r="D157" s="153">
        <f>N61</f>
        <v>60</v>
      </c>
      <c r="E157" s="154" t="s">
        <v>86</v>
      </c>
      <c r="F157" s="154"/>
      <c r="G157" s="154"/>
      <c r="H157" s="154"/>
      <c r="I157" s="154"/>
      <c r="J157" s="154"/>
      <c r="K157" s="154"/>
      <c r="L157" s="149"/>
    </row>
    <row r="158" spans="1:12" x14ac:dyDescent="0.2">
      <c r="A158" s="149">
        <v>5</v>
      </c>
      <c r="B158" s="150">
        <v>999.96</v>
      </c>
      <c r="C158" s="149"/>
      <c r="D158" s="154">
        <f>ROUND(D157,0)</f>
        <v>60</v>
      </c>
      <c r="E158" s="154" t="s">
        <v>82</v>
      </c>
      <c r="F158" s="154"/>
      <c r="G158" s="154"/>
      <c r="H158" s="154"/>
      <c r="I158" s="154"/>
      <c r="J158" s="154"/>
      <c r="K158" s="154"/>
      <c r="L158" s="149"/>
    </row>
    <row r="159" spans="1:12" x14ac:dyDescent="0.2">
      <c r="A159" s="149">
        <v>6</v>
      </c>
      <c r="B159" s="150">
        <v>999.94</v>
      </c>
      <c r="C159" s="149"/>
      <c r="D159" s="154">
        <f>LOOKUP(D158,$A$153:$B$253)</f>
        <v>983.19</v>
      </c>
      <c r="E159" s="154" t="s">
        <v>83</v>
      </c>
      <c r="F159" s="154"/>
      <c r="G159" s="154"/>
      <c r="H159" s="154"/>
      <c r="I159" s="154"/>
      <c r="J159" s="154"/>
      <c r="K159" s="154"/>
      <c r="L159" s="149"/>
    </row>
    <row r="160" spans="1:12" x14ac:dyDescent="0.2">
      <c r="A160" s="149">
        <v>7</v>
      </c>
      <c r="B160" s="150">
        <v>999.9</v>
      </c>
      <c r="C160" s="149"/>
      <c r="D160" s="154">
        <f>D159/1000</f>
        <v>0.98319000000000001</v>
      </c>
      <c r="E160" s="154" t="s">
        <v>84</v>
      </c>
      <c r="F160" s="154"/>
      <c r="G160" s="154"/>
      <c r="H160" s="154"/>
      <c r="I160" s="154"/>
      <c r="J160" s="154"/>
      <c r="K160" s="154"/>
      <c r="L160" s="149"/>
    </row>
    <row r="161" spans="1:12" x14ac:dyDescent="0.2">
      <c r="A161" s="149">
        <v>8</v>
      </c>
      <c r="B161" s="150">
        <v>999.78</v>
      </c>
      <c r="C161" s="149"/>
      <c r="D161" s="154"/>
      <c r="E161" s="154"/>
      <c r="F161" s="154"/>
      <c r="G161" s="154"/>
      <c r="H161" s="154"/>
      <c r="I161" s="154"/>
      <c r="J161" s="154"/>
      <c r="K161" s="154"/>
      <c r="L161" s="149"/>
    </row>
    <row r="162" spans="1:12" x14ac:dyDescent="0.2">
      <c r="A162" s="149">
        <v>9</v>
      </c>
      <c r="B162" s="150">
        <v>999.78</v>
      </c>
      <c r="C162" s="149"/>
      <c r="D162" s="154"/>
      <c r="E162" s="154"/>
      <c r="F162" s="154"/>
      <c r="G162" s="154"/>
      <c r="H162" s="154"/>
      <c r="I162" s="154"/>
      <c r="J162" s="154"/>
      <c r="K162" s="154"/>
      <c r="L162" s="149"/>
    </row>
    <row r="163" spans="1:12" x14ac:dyDescent="0.2">
      <c r="A163" s="149">
        <v>10</v>
      </c>
      <c r="B163" s="150">
        <v>999.7</v>
      </c>
      <c r="C163" s="149"/>
      <c r="D163" s="153">
        <f>N67</f>
        <v>70</v>
      </c>
      <c r="E163" s="154" t="s">
        <v>86</v>
      </c>
      <c r="F163" s="154"/>
      <c r="G163" s="154"/>
      <c r="H163" s="154"/>
      <c r="I163" s="154"/>
      <c r="J163" s="154"/>
      <c r="K163" s="154"/>
      <c r="L163" s="149"/>
    </row>
    <row r="164" spans="1:12" x14ac:dyDescent="0.2">
      <c r="A164" s="149">
        <v>11</v>
      </c>
      <c r="B164" s="150">
        <v>999.6</v>
      </c>
      <c r="C164" s="149"/>
      <c r="D164" s="154">
        <f>ROUND(D163,0)</f>
        <v>70</v>
      </c>
      <c r="E164" s="154" t="s">
        <v>82</v>
      </c>
      <c r="F164" s="154"/>
      <c r="G164" s="154"/>
      <c r="H164" s="154"/>
      <c r="I164" s="154"/>
      <c r="J164" s="154"/>
      <c r="K164" s="154"/>
      <c r="L164" s="149"/>
    </row>
    <row r="165" spans="1:12" x14ac:dyDescent="0.2">
      <c r="A165" s="149">
        <v>12</v>
      </c>
      <c r="B165" s="150">
        <v>999.5</v>
      </c>
      <c r="C165" s="149"/>
      <c r="D165" s="154">
        <f>LOOKUP(D164,$A$153:$B$253)</f>
        <v>977.76</v>
      </c>
      <c r="E165" s="154" t="s">
        <v>83</v>
      </c>
      <c r="F165" s="154"/>
      <c r="G165" s="154"/>
      <c r="H165" s="154"/>
      <c r="I165" s="154"/>
      <c r="J165" s="154"/>
      <c r="K165" s="154"/>
      <c r="L165" s="149"/>
    </row>
    <row r="166" spans="1:12" x14ac:dyDescent="0.2">
      <c r="A166" s="149">
        <v>13</v>
      </c>
      <c r="B166" s="150">
        <v>999.38</v>
      </c>
      <c r="C166" s="149"/>
      <c r="D166" s="154">
        <f>D165/1000</f>
        <v>0.97775999999999996</v>
      </c>
      <c r="E166" s="154" t="s">
        <v>84</v>
      </c>
      <c r="F166" s="154"/>
      <c r="G166" s="154"/>
      <c r="H166" s="154"/>
      <c r="I166" s="154"/>
      <c r="J166" s="154"/>
      <c r="K166" s="154"/>
      <c r="L166" s="149"/>
    </row>
    <row r="167" spans="1:12" x14ac:dyDescent="0.2">
      <c r="A167" s="149">
        <v>14</v>
      </c>
      <c r="B167" s="150">
        <v>999.24</v>
      </c>
      <c r="C167" s="149"/>
      <c r="D167" s="149"/>
      <c r="E167" s="149"/>
      <c r="F167" s="149"/>
      <c r="G167" s="149"/>
      <c r="H167" s="149"/>
      <c r="I167" s="149"/>
      <c r="J167" s="149"/>
      <c r="K167" s="149"/>
      <c r="L167" s="149"/>
    </row>
    <row r="168" spans="1:12" x14ac:dyDescent="0.2">
      <c r="A168" s="149">
        <v>15</v>
      </c>
      <c r="B168" s="150">
        <v>999.1</v>
      </c>
      <c r="C168" s="149"/>
      <c r="D168" s="149"/>
      <c r="E168" s="149"/>
      <c r="F168" s="149"/>
      <c r="G168" s="149"/>
      <c r="H168" s="149"/>
      <c r="I168" s="149"/>
      <c r="J168" s="149"/>
      <c r="K168" s="149"/>
      <c r="L168" s="149"/>
    </row>
    <row r="169" spans="1:12" x14ac:dyDescent="0.2">
      <c r="A169" s="149">
        <v>16</v>
      </c>
      <c r="B169" s="150">
        <v>998.94</v>
      </c>
      <c r="C169" s="149"/>
      <c r="D169" s="149"/>
      <c r="E169" s="149"/>
      <c r="F169" s="149"/>
      <c r="G169" s="149"/>
      <c r="H169" s="149"/>
      <c r="I169" s="149"/>
      <c r="J169" s="149"/>
      <c r="K169" s="149"/>
      <c r="L169" s="149"/>
    </row>
    <row r="170" spans="1:12" x14ac:dyDescent="0.2">
      <c r="A170" s="149">
        <v>17</v>
      </c>
      <c r="B170" s="150">
        <v>998.77</v>
      </c>
      <c r="C170" s="149"/>
      <c r="D170" s="149"/>
      <c r="E170" s="149"/>
      <c r="F170" s="149"/>
      <c r="G170" s="149"/>
      <c r="H170" s="149"/>
      <c r="I170" s="149"/>
      <c r="J170" s="149"/>
      <c r="K170" s="149"/>
      <c r="L170" s="149"/>
    </row>
    <row r="171" spans="1:12" x14ac:dyDescent="0.2">
      <c r="A171" s="149">
        <v>18</v>
      </c>
      <c r="B171" s="150">
        <v>998.59</v>
      </c>
      <c r="C171" s="149"/>
      <c r="D171" s="149"/>
      <c r="E171" s="149"/>
      <c r="F171" s="149"/>
      <c r="G171" s="149"/>
      <c r="H171" s="149"/>
      <c r="I171" s="149"/>
      <c r="J171" s="149"/>
      <c r="K171" s="149"/>
      <c r="L171" s="149"/>
    </row>
    <row r="172" spans="1:12" x14ac:dyDescent="0.2">
      <c r="A172" s="149">
        <v>19</v>
      </c>
      <c r="B172" s="150">
        <v>998.4</v>
      </c>
      <c r="C172" s="149"/>
      <c r="D172" s="149"/>
      <c r="E172" s="149"/>
      <c r="F172" s="149"/>
      <c r="G172" s="149"/>
      <c r="H172" s="149"/>
      <c r="I172" s="149"/>
      <c r="J172" s="149"/>
      <c r="K172" s="149"/>
      <c r="L172" s="149"/>
    </row>
    <row r="173" spans="1:12" x14ac:dyDescent="0.2">
      <c r="A173" s="149">
        <v>20</v>
      </c>
      <c r="B173" s="150">
        <v>998.2</v>
      </c>
      <c r="C173" s="149"/>
      <c r="D173" s="149"/>
      <c r="E173" s="149"/>
      <c r="F173" s="149"/>
      <c r="G173" s="149"/>
      <c r="H173" s="149"/>
      <c r="I173" s="149"/>
      <c r="J173" s="149"/>
      <c r="K173" s="149"/>
      <c r="L173" s="149"/>
    </row>
    <row r="174" spans="1:12" x14ac:dyDescent="0.2">
      <c r="A174" s="149">
        <v>21</v>
      </c>
      <c r="B174" s="150">
        <v>997.99</v>
      </c>
      <c r="C174" s="149"/>
      <c r="D174" s="149"/>
      <c r="E174" s="149"/>
      <c r="F174" s="149"/>
      <c r="G174" s="149"/>
      <c r="H174" s="149"/>
      <c r="I174" s="149"/>
      <c r="J174" s="149"/>
      <c r="K174" s="149"/>
      <c r="L174" s="149"/>
    </row>
    <row r="175" spans="1:12" x14ac:dyDescent="0.2">
      <c r="A175" s="149">
        <v>22</v>
      </c>
      <c r="B175" s="150">
        <v>997.77</v>
      </c>
      <c r="C175" s="149"/>
      <c r="D175" s="149"/>
      <c r="E175" s="149"/>
      <c r="F175" s="149"/>
      <c r="G175" s="149"/>
      <c r="H175" s="149"/>
      <c r="I175" s="149"/>
      <c r="J175" s="149"/>
      <c r="K175" s="149"/>
      <c r="L175" s="149"/>
    </row>
    <row r="176" spans="1:12" x14ac:dyDescent="0.2">
      <c r="A176" s="149">
        <v>23</v>
      </c>
      <c r="B176" s="150">
        <v>997.54</v>
      </c>
      <c r="C176" s="149"/>
      <c r="D176" s="149"/>
      <c r="E176" s="149"/>
      <c r="F176" s="149"/>
      <c r="G176" s="149"/>
      <c r="H176" s="149"/>
      <c r="I176" s="149"/>
      <c r="J176" s="149"/>
      <c r="K176" s="149"/>
      <c r="L176" s="149"/>
    </row>
    <row r="177" spans="1:12" x14ac:dyDescent="0.2">
      <c r="A177" s="149">
        <v>24</v>
      </c>
      <c r="B177" s="150">
        <v>997.29</v>
      </c>
      <c r="C177" s="149"/>
      <c r="D177" s="149"/>
      <c r="E177" s="149"/>
      <c r="F177" s="149"/>
      <c r="G177" s="149"/>
      <c r="H177" s="149"/>
      <c r="I177" s="149"/>
      <c r="J177" s="149"/>
      <c r="K177" s="149"/>
      <c r="L177" s="149"/>
    </row>
    <row r="178" spans="1:12" x14ac:dyDescent="0.2">
      <c r="A178" s="149">
        <v>25</v>
      </c>
      <c r="B178" s="150">
        <v>997.04</v>
      </c>
      <c r="C178" s="149"/>
      <c r="D178" s="149"/>
      <c r="E178" s="149"/>
      <c r="F178" s="149"/>
      <c r="G178" s="149"/>
      <c r="H178" s="149"/>
      <c r="I178" s="149"/>
      <c r="J178" s="149"/>
      <c r="K178" s="149"/>
      <c r="L178" s="149"/>
    </row>
    <row r="179" spans="1:12" x14ac:dyDescent="0.2">
      <c r="A179" s="149">
        <v>26</v>
      </c>
      <c r="B179" s="150">
        <v>996.78</v>
      </c>
      <c r="C179" s="149"/>
      <c r="D179" s="149"/>
      <c r="E179" s="149"/>
      <c r="F179" s="149"/>
      <c r="G179" s="149"/>
      <c r="H179" s="149"/>
      <c r="I179" s="149"/>
      <c r="J179" s="149"/>
      <c r="K179" s="149"/>
      <c r="L179" s="149"/>
    </row>
    <row r="180" spans="1:12" x14ac:dyDescent="0.2">
      <c r="A180" s="149">
        <v>27</v>
      </c>
      <c r="B180" s="150">
        <v>996.51</v>
      </c>
      <c r="C180" s="149"/>
      <c r="D180" s="149"/>
      <c r="E180" s="149"/>
      <c r="F180" s="149"/>
      <c r="G180" s="149"/>
      <c r="H180" s="149"/>
      <c r="I180" s="149"/>
      <c r="J180" s="149"/>
      <c r="K180" s="149"/>
      <c r="L180" s="149"/>
    </row>
    <row r="181" spans="1:12" x14ac:dyDescent="0.2">
      <c r="A181" s="149">
        <v>28</v>
      </c>
      <c r="B181" s="150">
        <v>996.23</v>
      </c>
      <c r="C181" s="149"/>
      <c r="D181" s="149"/>
      <c r="E181" s="149"/>
      <c r="F181" s="149"/>
      <c r="G181" s="149"/>
      <c r="H181" s="149"/>
      <c r="I181" s="149"/>
      <c r="J181" s="149"/>
      <c r="K181" s="149"/>
      <c r="L181" s="149"/>
    </row>
    <row r="182" spans="1:12" x14ac:dyDescent="0.2">
      <c r="A182" s="149">
        <v>29</v>
      </c>
      <c r="B182" s="150">
        <v>995.94</v>
      </c>
      <c r="C182" s="149"/>
      <c r="D182" s="149"/>
      <c r="E182" s="149"/>
      <c r="F182" s="149"/>
      <c r="G182" s="149"/>
      <c r="H182" s="149"/>
      <c r="I182" s="149"/>
      <c r="J182" s="149"/>
      <c r="K182" s="149"/>
      <c r="L182" s="149"/>
    </row>
    <row r="183" spans="1:12" x14ac:dyDescent="0.2">
      <c r="A183" s="149">
        <v>30</v>
      </c>
      <c r="B183" s="150">
        <v>995.64</v>
      </c>
      <c r="C183" s="149"/>
      <c r="D183" s="149"/>
      <c r="E183" s="149"/>
      <c r="F183" s="149"/>
      <c r="G183" s="149"/>
      <c r="H183" s="149"/>
      <c r="I183" s="149"/>
      <c r="J183" s="149"/>
      <c r="K183" s="149"/>
      <c r="L183" s="149"/>
    </row>
    <row r="184" spans="1:12" x14ac:dyDescent="0.2">
      <c r="A184" s="149">
        <v>31</v>
      </c>
      <c r="B184" s="150">
        <v>995.34</v>
      </c>
      <c r="C184" s="149"/>
      <c r="D184" s="149"/>
      <c r="E184" s="149"/>
      <c r="F184" s="149"/>
      <c r="G184" s="149"/>
      <c r="H184" s="149"/>
      <c r="I184" s="149"/>
      <c r="J184" s="149"/>
      <c r="K184" s="149"/>
      <c r="L184" s="149"/>
    </row>
    <row r="185" spans="1:12" x14ac:dyDescent="0.2">
      <c r="A185" s="149">
        <v>32</v>
      </c>
      <c r="B185" s="150">
        <v>995.02</v>
      </c>
      <c r="C185" s="149"/>
      <c r="D185" s="149"/>
      <c r="E185" s="149"/>
      <c r="F185" s="149"/>
      <c r="G185" s="149"/>
      <c r="H185" s="149"/>
      <c r="I185" s="149"/>
      <c r="J185" s="149"/>
      <c r="K185" s="149"/>
      <c r="L185" s="149"/>
    </row>
    <row r="186" spans="1:12" x14ac:dyDescent="0.2">
      <c r="A186" s="149">
        <v>33</v>
      </c>
      <c r="B186" s="150">
        <v>994.7</v>
      </c>
      <c r="C186" s="149"/>
      <c r="D186" s="149"/>
      <c r="E186" s="149"/>
      <c r="F186" s="149"/>
      <c r="G186" s="149"/>
      <c r="H186" s="149"/>
      <c r="I186" s="149"/>
      <c r="J186" s="149"/>
      <c r="K186" s="149"/>
      <c r="L186" s="149"/>
    </row>
    <row r="187" spans="1:12" x14ac:dyDescent="0.2">
      <c r="A187" s="149">
        <v>34</v>
      </c>
      <c r="B187" s="150">
        <v>994.37</v>
      </c>
      <c r="C187" s="149"/>
      <c r="D187" s="149"/>
      <c r="E187" s="149"/>
      <c r="F187" s="149"/>
      <c r="G187" s="149"/>
      <c r="H187" s="149"/>
      <c r="I187" s="149"/>
      <c r="J187" s="149"/>
      <c r="K187" s="149"/>
      <c r="L187" s="149"/>
    </row>
    <row r="188" spans="1:12" x14ac:dyDescent="0.2">
      <c r="A188" s="149">
        <v>35</v>
      </c>
      <c r="B188" s="150">
        <v>994.03</v>
      </c>
      <c r="C188" s="149"/>
      <c r="D188" s="149"/>
      <c r="E188" s="149"/>
      <c r="F188" s="149"/>
      <c r="G188" s="149"/>
      <c r="H188" s="149"/>
      <c r="I188" s="149"/>
      <c r="J188" s="149"/>
      <c r="K188" s="149"/>
      <c r="L188" s="149"/>
    </row>
    <row r="189" spans="1:12" x14ac:dyDescent="0.2">
      <c r="A189" s="149">
        <v>36</v>
      </c>
      <c r="B189" s="150">
        <v>993.68</v>
      </c>
      <c r="C189" s="149"/>
      <c r="D189" s="149"/>
      <c r="E189" s="149"/>
      <c r="F189" s="149"/>
      <c r="G189" s="149"/>
      <c r="H189" s="149"/>
      <c r="I189" s="149"/>
      <c r="J189" s="149"/>
      <c r="K189" s="149"/>
      <c r="L189" s="149"/>
    </row>
    <row r="190" spans="1:12" x14ac:dyDescent="0.2">
      <c r="A190" s="149">
        <v>37</v>
      </c>
      <c r="B190" s="150">
        <v>993.32</v>
      </c>
      <c r="C190" s="149"/>
      <c r="D190" s="149"/>
      <c r="E190" s="149"/>
      <c r="F190" s="149"/>
      <c r="G190" s="149"/>
      <c r="H190" s="149"/>
      <c r="I190" s="149"/>
      <c r="J190" s="149"/>
      <c r="K190" s="149"/>
      <c r="L190" s="149"/>
    </row>
    <row r="191" spans="1:12" x14ac:dyDescent="0.2">
      <c r="A191" s="149">
        <v>38</v>
      </c>
      <c r="B191" s="150">
        <v>992.96</v>
      </c>
      <c r="C191" s="149"/>
      <c r="D191" s="149"/>
      <c r="E191" s="149"/>
      <c r="F191" s="149"/>
      <c r="G191" s="149"/>
      <c r="H191" s="149"/>
      <c r="I191" s="149"/>
      <c r="J191" s="149"/>
      <c r="K191" s="149"/>
      <c r="L191" s="149"/>
    </row>
    <row r="192" spans="1:12" x14ac:dyDescent="0.2">
      <c r="A192" s="149">
        <v>39</v>
      </c>
      <c r="B192" s="150">
        <v>992.59</v>
      </c>
      <c r="C192" s="149"/>
      <c r="D192" s="149"/>
      <c r="E192" s="149"/>
      <c r="F192" s="149"/>
      <c r="G192" s="149"/>
      <c r="H192" s="149"/>
      <c r="I192" s="149"/>
      <c r="J192" s="149"/>
      <c r="K192" s="149"/>
      <c r="L192" s="149"/>
    </row>
    <row r="193" spans="1:12" x14ac:dyDescent="0.2">
      <c r="A193" s="149">
        <v>40</v>
      </c>
      <c r="B193" s="150">
        <v>992.21</v>
      </c>
      <c r="C193" s="149"/>
      <c r="D193" s="149"/>
      <c r="E193" s="149"/>
      <c r="F193" s="149"/>
      <c r="G193" s="149"/>
      <c r="H193" s="149"/>
      <c r="I193" s="149"/>
      <c r="J193" s="149"/>
      <c r="K193" s="149"/>
      <c r="L193" s="149"/>
    </row>
    <row r="194" spans="1:12" x14ac:dyDescent="0.2">
      <c r="A194" s="149">
        <v>41</v>
      </c>
      <c r="B194" s="150">
        <v>991.81</v>
      </c>
      <c r="C194" s="149"/>
      <c r="D194" s="149"/>
      <c r="E194" s="149"/>
      <c r="F194" s="149"/>
      <c r="G194" s="149"/>
      <c r="H194" s="149"/>
      <c r="I194" s="149"/>
      <c r="J194" s="149"/>
      <c r="K194" s="149"/>
      <c r="L194" s="149"/>
    </row>
    <row r="195" spans="1:12" x14ac:dyDescent="0.2">
      <c r="A195" s="149">
        <v>42</v>
      </c>
      <c r="B195" s="150">
        <v>991.41</v>
      </c>
      <c r="C195" s="149"/>
      <c r="D195" s="149"/>
      <c r="E195" s="149"/>
      <c r="F195" s="149"/>
      <c r="G195" s="149"/>
      <c r="H195" s="149"/>
      <c r="I195" s="149"/>
      <c r="J195" s="149"/>
      <c r="K195" s="149"/>
      <c r="L195" s="149"/>
    </row>
    <row r="196" spans="1:12" x14ac:dyDescent="0.2">
      <c r="A196" s="149">
        <v>43</v>
      </c>
      <c r="B196" s="150">
        <v>991.01</v>
      </c>
      <c r="C196" s="149"/>
      <c r="D196" s="149"/>
      <c r="E196" s="149"/>
      <c r="F196" s="149"/>
      <c r="G196" s="149"/>
      <c r="H196" s="149"/>
      <c r="I196" s="149"/>
      <c r="J196" s="149"/>
      <c r="K196" s="149"/>
      <c r="L196" s="149"/>
    </row>
    <row r="197" spans="1:12" x14ac:dyDescent="0.2">
      <c r="A197" s="149">
        <v>44</v>
      </c>
      <c r="B197" s="150">
        <v>990.61</v>
      </c>
      <c r="C197" s="149"/>
      <c r="D197" s="149"/>
      <c r="E197" s="149"/>
      <c r="F197" s="149"/>
      <c r="G197" s="149"/>
      <c r="H197" s="149"/>
      <c r="I197" s="149"/>
      <c r="J197" s="149"/>
      <c r="K197" s="149"/>
      <c r="L197" s="149"/>
    </row>
    <row r="198" spans="1:12" x14ac:dyDescent="0.2">
      <c r="A198" s="149">
        <v>45</v>
      </c>
      <c r="B198" s="150">
        <v>990.21</v>
      </c>
      <c r="C198" s="149"/>
      <c r="D198" s="149"/>
      <c r="E198" s="149"/>
      <c r="F198" s="149"/>
      <c r="G198" s="149"/>
      <c r="H198" s="149"/>
      <c r="I198" s="149"/>
      <c r="J198" s="149"/>
      <c r="K198" s="149"/>
      <c r="L198" s="149"/>
    </row>
    <row r="199" spans="1:12" x14ac:dyDescent="0.2">
      <c r="A199" s="149">
        <v>46</v>
      </c>
      <c r="B199" s="150">
        <v>989.77</v>
      </c>
      <c r="C199" s="149"/>
      <c r="D199" s="149"/>
      <c r="E199" s="149"/>
      <c r="F199" s="149"/>
      <c r="G199" s="149"/>
      <c r="H199" s="149"/>
      <c r="I199" s="149"/>
      <c r="J199" s="149"/>
      <c r="K199" s="149"/>
      <c r="L199" s="149"/>
    </row>
    <row r="200" spans="1:12" x14ac:dyDescent="0.2">
      <c r="A200" s="149">
        <v>47</v>
      </c>
      <c r="B200" s="150">
        <v>989.33799999999997</v>
      </c>
      <c r="C200" s="149"/>
      <c r="D200" s="149"/>
      <c r="E200" s="149"/>
      <c r="F200" s="149"/>
      <c r="G200" s="149"/>
      <c r="H200" s="149"/>
      <c r="I200" s="149"/>
      <c r="J200" s="149"/>
      <c r="K200" s="149"/>
      <c r="L200" s="149"/>
    </row>
    <row r="201" spans="1:12" x14ac:dyDescent="0.2">
      <c r="A201" s="149">
        <v>48</v>
      </c>
      <c r="B201" s="150">
        <v>988.90199999999993</v>
      </c>
      <c r="C201" s="149"/>
      <c r="D201" s="149"/>
      <c r="E201" s="149"/>
      <c r="F201" s="149"/>
      <c r="G201" s="149"/>
      <c r="H201" s="149"/>
      <c r="I201" s="149"/>
      <c r="J201" s="149"/>
      <c r="K201" s="149"/>
      <c r="L201" s="149"/>
    </row>
    <row r="202" spans="1:12" x14ac:dyDescent="0.2">
      <c r="A202" s="149">
        <v>49</v>
      </c>
      <c r="B202" s="150">
        <v>988.46599999999989</v>
      </c>
      <c r="C202" s="149"/>
      <c r="D202" s="149"/>
      <c r="E202" s="149"/>
      <c r="F202" s="149"/>
      <c r="G202" s="149"/>
      <c r="H202" s="149"/>
      <c r="I202" s="149"/>
      <c r="J202" s="149"/>
      <c r="K202" s="149"/>
      <c r="L202" s="149"/>
    </row>
    <row r="203" spans="1:12" x14ac:dyDescent="0.2">
      <c r="A203" s="149">
        <v>50</v>
      </c>
      <c r="B203" s="150">
        <v>988.03</v>
      </c>
      <c r="C203" s="149"/>
      <c r="D203" s="149"/>
      <c r="E203" s="149"/>
      <c r="F203" s="149"/>
      <c r="G203" s="149"/>
      <c r="H203" s="149"/>
      <c r="I203" s="149"/>
      <c r="J203" s="149"/>
      <c r="K203" s="149"/>
      <c r="L203" s="149"/>
    </row>
    <row r="204" spans="1:12" x14ac:dyDescent="0.2">
      <c r="A204" s="149">
        <v>51</v>
      </c>
      <c r="B204" s="150">
        <v>987.56200000000001</v>
      </c>
      <c r="C204" s="149"/>
      <c r="D204" s="149"/>
      <c r="E204" s="149"/>
      <c r="F204" s="149"/>
      <c r="G204" s="149"/>
      <c r="H204" s="149"/>
      <c r="I204" s="149"/>
      <c r="J204" s="149"/>
      <c r="K204" s="149"/>
      <c r="L204" s="149"/>
    </row>
    <row r="205" spans="1:12" x14ac:dyDescent="0.2">
      <c r="A205" s="149">
        <v>52</v>
      </c>
      <c r="B205" s="150">
        <v>987.09400000000005</v>
      </c>
      <c r="C205" s="149"/>
      <c r="D205" s="149"/>
      <c r="E205" s="149"/>
      <c r="F205" s="149"/>
      <c r="G205" s="149"/>
      <c r="H205" s="149"/>
      <c r="I205" s="149"/>
      <c r="J205" s="149"/>
      <c r="K205" s="149"/>
      <c r="L205" s="149"/>
    </row>
    <row r="206" spans="1:12" x14ac:dyDescent="0.2">
      <c r="A206" s="149">
        <v>53</v>
      </c>
      <c r="B206" s="150">
        <v>986.62600000000009</v>
      </c>
      <c r="C206" s="149"/>
      <c r="D206" s="149"/>
      <c r="E206" s="149"/>
      <c r="F206" s="149"/>
      <c r="G206" s="149"/>
      <c r="H206" s="149"/>
      <c r="I206" s="149"/>
      <c r="J206" s="149"/>
      <c r="K206" s="149"/>
      <c r="L206" s="149"/>
    </row>
    <row r="207" spans="1:12" x14ac:dyDescent="0.2">
      <c r="A207" s="149">
        <v>54</v>
      </c>
      <c r="B207" s="150">
        <v>986.15800000000013</v>
      </c>
      <c r="C207" s="149"/>
      <c r="D207" s="149"/>
      <c r="E207" s="149"/>
      <c r="F207" s="149"/>
      <c r="G207" s="149"/>
      <c r="H207" s="149"/>
      <c r="I207" s="149"/>
      <c r="J207" s="149"/>
      <c r="K207" s="149"/>
      <c r="L207" s="149"/>
    </row>
    <row r="208" spans="1:12" x14ac:dyDescent="0.2">
      <c r="A208" s="149">
        <v>55</v>
      </c>
      <c r="B208" s="150">
        <v>985.69</v>
      </c>
      <c r="C208" s="149"/>
      <c r="D208" s="149"/>
      <c r="E208" s="149"/>
      <c r="F208" s="149"/>
      <c r="G208" s="149"/>
      <c r="H208" s="149"/>
      <c r="I208" s="149"/>
      <c r="J208" s="149"/>
      <c r="K208" s="149"/>
      <c r="L208" s="149"/>
    </row>
    <row r="209" spans="1:12" x14ac:dyDescent="0.2">
      <c r="A209" s="149">
        <v>56</v>
      </c>
      <c r="B209" s="150">
        <v>985.19</v>
      </c>
      <c r="C209" s="149"/>
      <c r="D209" s="149"/>
      <c r="E209" s="149"/>
      <c r="F209" s="149"/>
      <c r="G209" s="149"/>
      <c r="H209" s="149"/>
      <c r="I209" s="149"/>
      <c r="J209" s="149"/>
      <c r="K209" s="149"/>
      <c r="L209" s="149"/>
    </row>
    <row r="210" spans="1:12" x14ac:dyDescent="0.2">
      <c r="A210" s="149">
        <v>57</v>
      </c>
      <c r="B210" s="150">
        <v>984.69</v>
      </c>
      <c r="C210" s="149"/>
      <c r="D210" s="149"/>
      <c r="E210" s="149"/>
      <c r="F210" s="149"/>
      <c r="G210" s="149"/>
      <c r="H210" s="149"/>
      <c r="I210" s="149"/>
      <c r="J210" s="149"/>
      <c r="K210" s="149"/>
      <c r="L210" s="149"/>
    </row>
    <row r="211" spans="1:12" x14ac:dyDescent="0.2">
      <c r="A211" s="149">
        <v>58</v>
      </c>
      <c r="B211" s="150">
        <v>984.19</v>
      </c>
      <c r="C211" s="149"/>
      <c r="D211" s="149"/>
      <c r="E211" s="149"/>
      <c r="F211" s="149"/>
      <c r="G211" s="149"/>
      <c r="H211" s="149"/>
      <c r="I211" s="149"/>
      <c r="J211" s="149"/>
      <c r="K211" s="149"/>
      <c r="L211" s="149"/>
    </row>
    <row r="212" spans="1:12" x14ac:dyDescent="0.2">
      <c r="A212" s="149">
        <v>59</v>
      </c>
      <c r="B212" s="150">
        <v>983.69</v>
      </c>
      <c r="C212" s="149"/>
      <c r="D212" s="149"/>
      <c r="E212" s="149"/>
      <c r="F212" s="149"/>
      <c r="G212" s="149"/>
      <c r="H212" s="149"/>
      <c r="I212" s="149"/>
      <c r="J212" s="149"/>
      <c r="K212" s="149"/>
      <c r="L212" s="149"/>
    </row>
    <row r="213" spans="1:12" x14ac:dyDescent="0.2">
      <c r="A213" s="149">
        <v>60</v>
      </c>
      <c r="B213" s="150">
        <v>983.19</v>
      </c>
      <c r="C213" s="149"/>
      <c r="D213" s="149"/>
      <c r="E213" s="149"/>
      <c r="F213" s="149"/>
      <c r="G213" s="149"/>
      <c r="H213" s="149"/>
      <c r="I213" s="149"/>
      <c r="J213" s="149"/>
      <c r="K213" s="149"/>
      <c r="L213" s="149"/>
    </row>
    <row r="214" spans="1:12" x14ac:dyDescent="0.2">
      <c r="A214" s="149">
        <v>61</v>
      </c>
      <c r="B214" s="150">
        <v>982.66200000000003</v>
      </c>
      <c r="C214" s="149"/>
      <c r="D214" s="149"/>
      <c r="E214" s="149"/>
      <c r="F214" s="149"/>
      <c r="G214" s="149"/>
      <c r="H214" s="149"/>
      <c r="I214" s="149"/>
      <c r="J214" s="149"/>
      <c r="K214" s="149"/>
      <c r="L214" s="149"/>
    </row>
    <row r="215" spans="1:12" x14ac:dyDescent="0.2">
      <c r="A215" s="149">
        <v>62</v>
      </c>
      <c r="B215" s="150">
        <v>982.13400000000001</v>
      </c>
      <c r="C215" s="149"/>
      <c r="D215" s="149"/>
      <c r="E215" s="149"/>
      <c r="F215" s="149"/>
      <c r="G215" s="149"/>
      <c r="H215" s="149"/>
      <c r="I215" s="149"/>
      <c r="J215" s="149"/>
      <c r="K215" s="149"/>
      <c r="L215" s="149"/>
    </row>
    <row r="216" spans="1:12" x14ac:dyDescent="0.2">
      <c r="A216" s="149">
        <v>63</v>
      </c>
      <c r="B216" s="150">
        <v>981.60599999999999</v>
      </c>
      <c r="C216" s="149"/>
      <c r="D216" s="149"/>
      <c r="E216" s="149"/>
      <c r="F216" s="149"/>
      <c r="G216" s="149"/>
      <c r="H216" s="149"/>
      <c r="I216" s="149"/>
      <c r="J216" s="149"/>
      <c r="K216" s="149"/>
      <c r="L216" s="149"/>
    </row>
    <row r="217" spans="1:12" x14ac:dyDescent="0.2">
      <c r="A217" s="149">
        <v>64</v>
      </c>
      <c r="B217" s="150">
        <v>981.07799999999997</v>
      </c>
      <c r="C217" s="149"/>
      <c r="D217" s="149"/>
      <c r="E217" s="149"/>
      <c r="F217" s="149"/>
      <c r="G217" s="149"/>
      <c r="H217" s="149"/>
      <c r="I217" s="149"/>
      <c r="J217" s="149"/>
      <c r="K217" s="149"/>
      <c r="L217" s="149"/>
    </row>
    <row r="218" spans="1:12" x14ac:dyDescent="0.2">
      <c r="A218" s="149">
        <v>65</v>
      </c>
      <c r="B218" s="150">
        <v>980.55</v>
      </c>
      <c r="C218" s="149"/>
      <c r="D218" s="149"/>
      <c r="E218" s="149"/>
      <c r="F218" s="149"/>
      <c r="G218" s="149"/>
      <c r="H218" s="149"/>
      <c r="I218" s="149"/>
      <c r="J218" s="149"/>
      <c r="K218" s="149"/>
      <c r="L218" s="149"/>
    </row>
    <row r="219" spans="1:12" x14ac:dyDescent="0.2">
      <c r="A219" s="149">
        <v>66</v>
      </c>
      <c r="B219" s="150">
        <v>979.99199999999996</v>
      </c>
      <c r="C219" s="149"/>
      <c r="D219" s="149"/>
      <c r="E219" s="149"/>
      <c r="F219" s="149"/>
      <c r="G219" s="149"/>
      <c r="H219" s="149"/>
      <c r="I219" s="149"/>
      <c r="J219" s="149"/>
      <c r="K219" s="149"/>
      <c r="L219" s="149"/>
    </row>
    <row r="220" spans="1:12" x14ac:dyDescent="0.2">
      <c r="A220" s="149">
        <v>67</v>
      </c>
      <c r="B220" s="150">
        <v>979.43399999999997</v>
      </c>
      <c r="C220" s="149"/>
      <c r="D220" s="149"/>
      <c r="E220" s="149"/>
      <c r="F220" s="149"/>
      <c r="G220" s="149"/>
      <c r="H220" s="149"/>
      <c r="I220" s="149"/>
      <c r="J220" s="149"/>
      <c r="K220" s="149"/>
      <c r="L220" s="149"/>
    </row>
    <row r="221" spans="1:12" x14ac:dyDescent="0.2">
      <c r="A221" s="149">
        <v>68</v>
      </c>
      <c r="B221" s="150">
        <v>978.87599999999998</v>
      </c>
      <c r="C221" s="149"/>
      <c r="D221" s="149"/>
      <c r="E221" s="149"/>
      <c r="F221" s="149"/>
      <c r="G221" s="149"/>
      <c r="H221" s="149"/>
      <c r="I221" s="149"/>
      <c r="J221" s="149"/>
      <c r="K221" s="149"/>
      <c r="L221" s="149"/>
    </row>
    <row r="222" spans="1:12" x14ac:dyDescent="0.2">
      <c r="A222" s="149">
        <v>69</v>
      </c>
      <c r="B222" s="150">
        <v>978.31799999999998</v>
      </c>
      <c r="C222" s="149"/>
      <c r="D222" s="149"/>
      <c r="E222" s="149"/>
      <c r="F222" s="149"/>
      <c r="G222" s="149"/>
      <c r="H222" s="149"/>
      <c r="I222" s="149"/>
      <c r="J222" s="149"/>
      <c r="K222" s="149"/>
      <c r="L222" s="149"/>
    </row>
    <row r="223" spans="1:12" x14ac:dyDescent="0.2">
      <c r="A223" s="149">
        <v>70</v>
      </c>
      <c r="B223" s="150">
        <v>977.76</v>
      </c>
      <c r="C223" s="149"/>
      <c r="D223" s="149"/>
      <c r="E223" s="149"/>
      <c r="F223" s="149"/>
      <c r="G223" s="149"/>
      <c r="H223" s="149"/>
      <c r="I223" s="149"/>
      <c r="J223" s="149"/>
      <c r="K223" s="149"/>
      <c r="L223" s="149"/>
    </row>
    <row r="224" spans="1:12" x14ac:dyDescent="0.2">
      <c r="A224" s="149">
        <v>71</v>
      </c>
      <c r="B224" s="150">
        <v>977.17600000000004</v>
      </c>
      <c r="C224" s="149"/>
      <c r="D224" s="149"/>
      <c r="E224" s="149"/>
      <c r="F224" s="149"/>
      <c r="G224" s="149"/>
      <c r="H224" s="149"/>
      <c r="I224" s="149"/>
      <c r="J224" s="149"/>
      <c r="K224" s="149"/>
      <c r="L224" s="149"/>
    </row>
    <row r="225" spans="1:12" x14ac:dyDescent="0.2">
      <c r="A225" s="149">
        <v>72</v>
      </c>
      <c r="B225" s="150">
        <v>976.5920000000001</v>
      </c>
      <c r="C225" s="149"/>
      <c r="D225" s="149"/>
      <c r="E225" s="149"/>
      <c r="F225" s="149"/>
      <c r="G225" s="149"/>
      <c r="H225" s="149"/>
      <c r="I225" s="149"/>
      <c r="J225" s="149"/>
      <c r="K225" s="149"/>
      <c r="L225" s="149"/>
    </row>
    <row r="226" spans="1:12" x14ac:dyDescent="0.2">
      <c r="A226" s="149">
        <v>73</v>
      </c>
      <c r="B226" s="150">
        <v>976.00800000000015</v>
      </c>
      <c r="C226" s="149"/>
      <c r="D226" s="149"/>
      <c r="E226" s="149"/>
      <c r="F226" s="149"/>
      <c r="G226" s="149"/>
      <c r="H226" s="149"/>
      <c r="I226" s="149"/>
      <c r="J226" s="149"/>
      <c r="K226" s="149"/>
      <c r="L226" s="149"/>
    </row>
    <row r="227" spans="1:12" x14ac:dyDescent="0.2">
      <c r="A227" s="149">
        <v>74</v>
      </c>
      <c r="B227" s="150">
        <v>975.42400000000021</v>
      </c>
      <c r="C227" s="149"/>
      <c r="D227" s="149"/>
      <c r="E227" s="149"/>
      <c r="F227" s="149"/>
      <c r="G227" s="149"/>
      <c r="H227" s="149"/>
      <c r="I227" s="149"/>
      <c r="J227" s="149"/>
      <c r="K227" s="149"/>
      <c r="L227" s="149"/>
    </row>
    <row r="228" spans="1:12" x14ac:dyDescent="0.2">
      <c r="A228" s="149">
        <v>75</v>
      </c>
      <c r="B228" s="150">
        <v>974.84</v>
      </c>
      <c r="C228" s="149"/>
      <c r="D228" s="149"/>
      <c r="E228" s="149"/>
      <c r="F228" s="149"/>
      <c r="G228" s="149"/>
      <c r="H228" s="149"/>
      <c r="I228" s="149"/>
      <c r="J228" s="149"/>
      <c r="K228" s="149"/>
      <c r="L228" s="149"/>
    </row>
    <row r="229" spans="1:12" x14ac:dyDescent="0.2">
      <c r="A229" s="149">
        <v>76</v>
      </c>
      <c r="B229" s="150">
        <v>974.23</v>
      </c>
      <c r="C229" s="149"/>
      <c r="D229" s="149"/>
      <c r="E229" s="149"/>
      <c r="F229" s="149"/>
      <c r="G229" s="149"/>
      <c r="H229" s="149"/>
      <c r="I229" s="149"/>
      <c r="J229" s="149"/>
      <c r="K229" s="149"/>
      <c r="L229" s="149"/>
    </row>
    <row r="230" spans="1:12" x14ac:dyDescent="0.2">
      <c r="A230" s="149">
        <v>77</v>
      </c>
      <c r="B230" s="150">
        <v>973.62</v>
      </c>
      <c r="C230" s="149"/>
      <c r="D230" s="149"/>
      <c r="E230" s="149"/>
      <c r="F230" s="149"/>
      <c r="G230" s="149"/>
      <c r="H230" s="149"/>
      <c r="I230" s="149"/>
      <c r="J230" s="149"/>
      <c r="K230" s="149"/>
      <c r="L230" s="149"/>
    </row>
    <row r="231" spans="1:12" x14ac:dyDescent="0.2">
      <c r="A231" s="149">
        <v>78</v>
      </c>
      <c r="B231" s="150">
        <v>973.01</v>
      </c>
      <c r="C231" s="149"/>
      <c r="D231" s="149"/>
      <c r="E231" s="149"/>
      <c r="F231" s="149"/>
      <c r="G231" s="149"/>
      <c r="H231" s="149"/>
      <c r="I231" s="149"/>
      <c r="J231" s="149"/>
      <c r="K231" s="149"/>
      <c r="L231" s="149"/>
    </row>
    <row r="232" spans="1:12" x14ac:dyDescent="0.2">
      <c r="A232" s="149">
        <v>79</v>
      </c>
      <c r="B232" s="150">
        <v>972.4</v>
      </c>
      <c r="C232" s="149"/>
      <c r="D232" s="149"/>
      <c r="E232" s="149"/>
      <c r="F232" s="149"/>
      <c r="G232" s="149"/>
      <c r="H232" s="149"/>
      <c r="I232" s="149"/>
      <c r="J232" s="149"/>
      <c r="K232" s="149"/>
      <c r="L232" s="149"/>
    </row>
    <row r="233" spans="1:12" x14ac:dyDescent="0.2">
      <c r="A233" s="149">
        <v>80</v>
      </c>
      <c r="B233" s="150">
        <v>971.79</v>
      </c>
      <c r="C233" s="149"/>
      <c r="D233" s="149"/>
      <c r="E233" s="149"/>
      <c r="F233" s="149"/>
      <c r="G233" s="149"/>
      <c r="H233" s="149"/>
      <c r="I233" s="149"/>
      <c r="J233" s="149"/>
      <c r="K233" s="149"/>
      <c r="L233" s="149"/>
    </row>
    <row r="234" spans="1:12" x14ac:dyDescent="0.2">
      <c r="A234" s="149">
        <v>81</v>
      </c>
      <c r="B234" s="150">
        <v>971.154</v>
      </c>
      <c r="C234" s="149"/>
      <c r="D234" s="149"/>
      <c r="E234" s="149"/>
      <c r="F234" s="149"/>
      <c r="G234" s="149"/>
      <c r="H234" s="149"/>
      <c r="I234" s="149"/>
      <c r="J234" s="149"/>
      <c r="K234" s="149"/>
      <c r="L234" s="149"/>
    </row>
    <row r="235" spans="1:12" x14ac:dyDescent="0.2">
      <c r="A235" s="149">
        <v>82</v>
      </c>
      <c r="B235" s="150">
        <v>970.51800000000003</v>
      </c>
      <c r="C235" s="149"/>
      <c r="D235" s="149"/>
      <c r="E235" s="149"/>
      <c r="F235" s="149"/>
      <c r="G235" s="149"/>
      <c r="H235" s="149"/>
      <c r="I235" s="149"/>
      <c r="J235" s="149"/>
      <c r="K235" s="149"/>
      <c r="L235" s="149"/>
    </row>
    <row r="236" spans="1:12" x14ac:dyDescent="0.2">
      <c r="A236" s="149">
        <v>83</v>
      </c>
      <c r="B236" s="150">
        <v>969.88200000000006</v>
      </c>
      <c r="C236" s="149"/>
      <c r="D236" s="149"/>
      <c r="E236" s="149"/>
      <c r="F236" s="149"/>
      <c r="G236" s="149"/>
      <c r="H236" s="149"/>
      <c r="I236" s="149"/>
      <c r="J236" s="149"/>
      <c r="K236" s="149"/>
      <c r="L236" s="149"/>
    </row>
    <row r="237" spans="1:12" x14ac:dyDescent="0.2">
      <c r="A237" s="149">
        <v>84</v>
      </c>
      <c r="B237" s="150">
        <v>969.24600000000009</v>
      </c>
      <c r="C237" s="149"/>
      <c r="D237" s="149"/>
      <c r="E237" s="149"/>
      <c r="F237" s="149"/>
      <c r="G237" s="149"/>
      <c r="H237" s="149"/>
      <c r="I237" s="149"/>
      <c r="J237" s="149"/>
      <c r="K237" s="149"/>
      <c r="L237" s="149"/>
    </row>
    <row r="238" spans="1:12" x14ac:dyDescent="0.2">
      <c r="A238" s="149">
        <v>85</v>
      </c>
      <c r="B238" s="150">
        <v>968.61</v>
      </c>
      <c r="C238" s="149"/>
      <c r="D238" s="149"/>
      <c r="E238" s="149"/>
      <c r="F238" s="149"/>
      <c r="G238" s="149"/>
      <c r="H238" s="149"/>
      <c r="I238" s="149"/>
      <c r="J238" s="149"/>
      <c r="K238" s="149"/>
      <c r="L238" s="149"/>
    </row>
    <row r="239" spans="1:12" x14ac:dyDescent="0.2">
      <c r="A239" s="149">
        <v>86</v>
      </c>
      <c r="B239" s="150">
        <v>967.94799999999998</v>
      </c>
      <c r="C239" s="149"/>
      <c r="D239" s="149"/>
      <c r="E239" s="149"/>
      <c r="F239" s="149"/>
      <c r="G239" s="149"/>
      <c r="H239" s="149"/>
      <c r="I239" s="149"/>
      <c r="J239" s="149"/>
      <c r="K239" s="149"/>
      <c r="L239" s="149"/>
    </row>
    <row r="240" spans="1:12" x14ac:dyDescent="0.2">
      <c r="A240" s="149">
        <v>87</v>
      </c>
      <c r="B240" s="150">
        <v>967.28599999999994</v>
      </c>
      <c r="C240" s="149"/>
      <c r="D240" s="149"/>
      <c r="E240" s="149"/>
      <c r="F240" s="149"/>
      <c r="G240" s="149"/>
      <c r="H240" s="149"/>
      <c r="I240" s="149"/>
      <c r="J240" s="149"/>
      <c r="K240" s="149"/>
      <c r="L240" s="149"/>
    </row>
    <row r="241" spans="1:12" x14ac:dyDescent="0.2">
      <c r="A241" s="149">
        <v>88</v>
      </c>
      <c r="B241" s="150">
        <v>966.62399999999991</v>
      </c>
      <c r="C241" s="149"/>
      <c r="D241" s="149"/>
      <c r="E241" s="149"/>
      <c r="F241" s="149"/>
      <c r="G241" s="149"/>
      <c r="H241" s="149"/>
      <c r="I241" s="149"/>
      <c r="J241" s="149"/>
      <c r="K241" s="149"/>
      <c r="L241" s="149"/>
    </row>
    <row r="242" spans="1:12" x14ac:dyDescent="0.2">
      <c r="A242" s="149">
        <v>89</v>
      </c>
      <c r="B242" s="150">
        <v>965.96199999999988</v>
      </c>
      <c r="C242" s="149"/>
      <c r="D242" s="149"/>
      <c r="E242" s="149"/>
      <c r="F242" s="149"/>
      <c r="G242" s="149"/>
      <c r="H242" s="149"/>
      <c r="I242" s="149"/>
      <c r="J242" s="149"/>
      <c r="K242" s="149"/>
      <c r="L242" s="149"/>
    </row>
    <row r="243" spans="1:12" x14ac:dyDescent="0.2">
      <c r="A243" s="149">
        <v>90</v>
      </c>
      <c r="B243" s="150">
        <v>965.3</v>
      </c>
      <c r="C243" s="149"/>
      <c r="D243" s="149"/>
      <c r="E243" s="149"/>
      <c r="F243" s="149"/>
      <c r="G243" s="149"/>
      <c r="H243" s="149"/>
      <c r="I243" s="149"/>
      <c r="J243" s="149"/>
      <c r="K243" s="149"/>
      <c r="L243" s="149"/>
    </row>
    <row r="244" spans="1:12" x14ac:dyDescent="0.2">
      <c r="A244" s="149">
        <v>91</v>
      </c>
      <c r="B244" s="150">
        <v>964.61599999999999</v>
      </c>
      <c r="C244" s="149"/>
      <c r="D244" s="149"/>
      <c r="E244" s="149"/>
      <c r="F244" s="149"/>
      <c r="G244" s="149"/>
      <c r="H244" s="149"/>
      <c r="I244" s="149"/>
      <c r="J244" s="149"/>
      <c r="K244" s="149"/>
      <c r="L244" s="149"/>
    </row>
    <row r="245" spans="1:12" x14ac:dyDescent="0.2">
      <c r="A245" s="149">
        <v>92</v>
      </c>
      <c r="B245" s="150">
        <v>963.93200000000002</v>
      </c>
      <c r="C245" s="149"/>
      <c r="D245" s="149"/>
      <c r="E245" s="149"/>
      <c r="F245" s="149"/>
      <c r="G245" s="149"/>
      <c r="H245" s="149"/>
      <c r="I245" s="149"/>
      <c r="J245" s="149"/>
      <c r="K245" s="149"/>
      <c r="L245" s="149"/>
    </row>
    <row r="246" spans="1:12" x14ac:dyDescent="0.2">
      <c r="A246" s="149">
        <v>93</v>
      </c>
      <c r="B246" s="150">
        <v>963.24800000000005</v>
      </c>
      <c r="C246" s="149"/>
      <c r="D246" s="149"/>
      <c r="E246" s="149"/>
      <c r="F246" s="149"/>
      <c r="G246" s="149"/>
      <c r="H246" s="149"/>
      <c r="I246" s="149"/>
      <c r="J246" s="149"/>
      <c r="K246" s="149"/>
      <c r="L246" s="149"/>
    </row>
    <row r="247" spans="1:12" x14ac:dyDescent="0.2">
      <c r="A247" s="149">
        <v>94</v>
      </c>
      <c r="B247" s="150">
        <v>962.56400000000008</v>
      </c>
      <c r="C247" s="149"/>
      <c r="D247" s="149"/>
      <c r="E247" s="149"/>
      <c r="F247" s="149"/>
      <c r="G247" s="149"/>
      <c r="H247" s="149"/>
      <c r="I247" s="149"/>
      <c r="J247" s="149"/>
      <c r="K247" s="149"/>
      <c r="L247" s="149"/>
    </row>
    <row r="248" spans="1:12" x14ac:dyDescent="0.2">
      <c r="A248" s="149">
        <v>95</v>
      </c>
      <c r="B248" s="150">
        <v>961.88</v>
      </c>
      <c r="C248" s="149"/>
      <c r="D248" s="149"/>
      <c r="E248" s="149"/>
      <c r="F248" s="149"/>
      <c r="G248" s="149"/>
      <c r="H248" s="149"/>
      <c r="I248" s="149"/>
      <c r="J248" s="149"/>
      <c r="K248" s="149"/>
      <c r="L248" s="149"/>
    </row>
    <row r="249" spans="1:12" x14ac:dyDescent="0.2">
      <c r="A249" s="149">
        <v>96</v>
      </c>
      <c r="B249" s="150">
        <v>961.17399999999998</v>
      </c>
      <c r="C249" s="149"/>
      <c r="D249" s="149"/>
      <c r="E249" s="149"/>
      <c r="F249" s="149"/>
      <c r="G249" s="149"/>
      <c r="H249" s="149"/>
      <c r="I249" s="149"/>
      <c r="J249" s="149"/>
      <c r="K249" s="149"/>
      <c r="L249" s="149"/>
    </row>
    <row r="250" spans="1:12" x14ac:dyDescent="0.2">
      <c r="A250" s="149">
        <v>97</v>
      </c>
      <c r="B250" s="150">
        <v>960.46799999999996</v>
      </c>
      <c r="C250" s="149"/>
      <c r="D250" s="149"/>
      <c r="E250" s="149"/>
      <c r="F250" s="149"/>
      <c r="G250" s="149"/>
      <c r="H250" s="149"/>
      <c r="I250" s="149"/>
      <c r="J250" s="149"/>
      <c r="K250" s="149"/>
      <c r="L250" s="149"/>
    </row>
    <row r="251" spans="1:12" x14ac:dyDescent="0.2">
      <c r="A251" s="149">
        <v>98</v>
      </c>
      <c r="B251" s="150">
        <v>959.76199999999994</v>
      </c>
      <c r="C251" s="149"/>
      <c r="D251" s="149"/>
      <c r="E251" s="149"/>
      <c r="F251" s="149"/>
      <c r="G251" s="149"/>
      <c r="H251" s="149"/>
      <c r="I251" s="149"/>
      <c r="J251" s="149"/>
      <c r="K251" s="149"/>
      <c r="L251" s="149"/>
    </row>
    <row r="252" spans="1:12" x14ac:dyDescent="0.2">
      <c r="A252" s="149">
        <v>99</v>
      </c>
      <c r="B252" s="150">
        <v>959.05599999999993</v>
      </c>
      <c r="C252" s="149"/>
      <c r="D252" s="149"/>
      <c r="E252" s="149"/>
      <c r="F252" s="149"/>
      <c r="G252" s="149"/>
      <c r="H252" s="149"/>
      <c r="I252" s="149"/>
      <c r="J252" s="149"/>
      <c r="K252" s="149"/>
      <c r="L252" s="149"/>
    </row>
    <row r="253" spans="1:12" x14ac:dyDescent="0.2">
      <c r="A253" s="149">
        <v>100</v>
      </c>
      <c r="B253" s="150">
        <v>958.35</v>
      </c>
      <c r="C253" s="149"/>
      <c r="D253" s="149"/>
      <c r="E253" s="149"/>
      <c r="F253" s="149"/>
      <c r="G253" s="149"/>
      <c r="H253" s="149"/>
      <c r="I253" s="149"/>
      <c r="J253" s="149"/>
      <c r="K253" s="149"/>
      <c r="L253" s="149"/>
    </row>
    <row r="254" spans="1:12" x14ac:dyDescent="0.2">
      <c r="A254" s="149"/>
      <c r="B254" s="150"/>
      <c r="C254" s="149"/>
      <c r="D254" s="149"/>
      <c r="E254" s="149"/>
      <c r="F254" s="149"/>
      <c r="G254" s="149"/>
      <c r="H254" s="149"/>
      <c r="I254" s="149"/>
      <c r="J254" s="149"/>
      <c r="K254" s="149"/>
      <c r="L254" s="149"/>
    </row>
    <row r="255" spans="1:12" x14ac:dyDescent="0.2">
      <c r="A255" s="149">
        <v>100</v>
      </c>
      <c r="B255" s="150">
        <v>0.59</v>
      </c>
      <c r="C255" s="149"/>
      <c r="D255" s="149"/>
      <c r="E255" s="149"/>
      <c r="F255" s="149"/>
      <c r="G255" s="149"/>
      <c r="H255" s="149"/>
      <c r="I255" s="149"/>
      <c r="J255" s="149"/>
      <c r="K255" s="149"/>
      <c r="L255" s="149"/>
    </row>
    <row r="256" spans="1:12" x14ac:dyDescent="0.2">
      <c r="A256" s="149"/>
      <c r="B256" s="150"/>
      <c r="C256" s="149"/>
      <c r="D256" s="149"/>
      <c r="E256" s="149"/>
      <c r="F256" s="149"/>
      <c r="G256" s="149"/>
      <c r="H256" s="149"/>
      <c r="I256" s="149"/>
      <c r="J256" s="149"/>
      <c r="K256" s="149"/>
      <c r="L256" s="149"/>
    </row>
    <row r="257" spans="1:12" x14ac:dyDescent="0.2">
      <c r="A257" s="149"/>
      <c r="B257" s="155">
        <f>B253/B255</f>
        <v>1624.3220338983051</v>
      </c>
      <c r="C257" s="154" t="s">
        <v>85</v>
      </c>
      <c r="D257" s="154"/>
      <c r="E257" s="154"/>
      <c r="F257" s="154"/>
      <c r="G257" s="154"/>
      <c r="H257" s="154"/>
      <c r="I257" s="154"/>
      <c r="J257" s="154"/>
      <c r="K257" s="154"/>
      <c r="L257" s="149"/>
    </row>
    <row r="258" spans="1:12" x14ac:dyDescent="0.2">
      <c r="A258" s="149"/>
      <c r="B258" s="150"/>
      <c r="C258" s="149"/>
      <c r="D258" s="149"/>
      <c r="E258" s="149"/>
      <c r="F258" s="149"/>
      <c r="G258" s="149"/>
      <c r="H258" s="149"/>
      <c r="I258" s="149"/>
      <c r="J258" s="149"/>
      <c r="K258" s="149"/>
      <c r="L258" s="149"/>
    </row>
  </sheetData>
  <conditionalFormatting sqref="N29:O29 L12:O12">
    <cfRule type="expression" dxfId="2" priority="5">
      <formula>$N$29&gt;=24</formula>
    </cfRule>
  </conditionalFormatting>
  <conditionalFormatting sqref="L29:M29">
    <cfRule type="expression" dxfId="1" priority="3">
      <formula>$N$29&gt;=24</formula>
    </cfRule>
  </conditionalFormatting>
  <conditionalFormatting sqref="N91:O91">
    <cfRule type="expression" dxfId="0" priority="1">
      <formula>$N$92&gt;(24-$N$84)</formula>
    </cfRule>
  </conditionalFormatting>
  <hyperlinks>
    <hyperlink ref="C7" r:id="rId1"/>
    <hyperlink ref="C8" r:id="rId2"/>
    <hyperlink ref="B58" r:id="rId3" location="70359"/>
    <hyperlink ref="C5" r:id="rId4"/>
    <hyperlink ref="B74" r:id="rId5" location="43518"/>
    <hyperlink ref="B75" r:id="rId6" location="62388"/>
    <hyperlink ref="B77" r:id="rId7" location="64825"/>
    <hyperlink ref="B78" r:id="rId8" location="heizkoerper-waermeleistung"/>
    <hyperlink ref="B79" r:id="rId9"/>
    <hyperlink ref="B80" r:id="rId10"/>
    <hyperlink ref="B73" r:id="rId11" location="72062"/>
  </hyperlinks>
  <printOptions horizontalCentered="1"/>
  <pageMargins left="0.11811023622047245" right="0.11811023622047245" top="0.39370078740157483" bottom="0.11811023622047245" header="0.31496062992125984" footer="0.31496062992125984"/>
  <pageSetup paperSize="9" scale="92" orientation="landscape" horizontalDpi="4294967293" r:id="rId12"/>
  <rowBreaks count="3" manualBreakCount="3">
    <brk id="43" max="16383" man="1"/>
    <brk id="81" max="16383" man="1"/>
    <brk id="106" max="16383" man="1"/>
  </rowBreaks>
  <drawing r:id="rId13"/>
  <legacyDrawing r:id="rId1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hjh</dc:creator>
  <cp:lastModifiedBy>hjh</cp:lastModifiedBy>
  <cp:lastPrinted>2015-02-25T20:27:06Z</cp:lastPrinted>
  <dcterms:created xsi:type="dcterms:W3CDTF">2014-03-20T09:45:25Z</dcterms:created>
  <dcterms:modified xsi:type="dcterms:W3CDTF">2015-02-26T23:59:37Z</dcterms:modified>
</cp:coreProperties>
</file>